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2"/>
  </bookViews>
  <sheets>
    <sheet name="Main" sheetId="1" r:id="rId1"/>
    <sheet name="Profiles" sheetId="2" r:id="rId2"/>
    <sheet name="Panels" sheetId="3" r:id="rId3"/>
    <sheet name="Inverters" sheetId="4" r:id="rId4"/>
    <sheet name="Power Centers" sheetId="5" r:id="rId5"/>
    <sheet name="Batteries" sheetId="6" r:id="rId6"/>
    <sheet name="Deep Well Pumps" sheetId="7" r:id="rId7"/>
    <sheet name="Booster Pumps" sheetId="8" r:id="rId8"/>
    <sheet name="PV Rack" sheetId="9" r:id="rId9"/>
    <sheet name="Refridgeration" sheetId="10" r:id="rId10"/>
    <sheet name="Chargers" sheetId="11" r:id="rId11"/>
    <sheet name="Old Data" sheetId="12" r:id="rId12"/>
    <sheet name="Water" sheetId="13" r:id="rId13"/>
  </sheets>
  <definedNames>
    <definedName name="unnamed">'Batteries'!$B$17:$F$25</definedName>
  </definedNames>
  <calcPr fullCalcOnLoad="1"/>
</workbook>
</file>

<file path=xl/comments1.xml><?xml version="1.0" encoding="utf-8"?>
<comments xmlns="http://schemas.openxmlformats.org/spreadsheetml/2006/main">
  <authors>
    <author>rs</author>
    <author/>
  </authors>
  <commentList>
    <comment ref="F9" authorId="0">
      <text>
        <r>
          <rPr>
            <sz val="10"/>
            <rFont val="Arial"/>
            <family val="0"/>
          </rPr>
          <t>Change this to toggle between different Profiles</t>
        </r>
      </text>
    </comment>
    <comment ref="E71" authorId="1">
      <text>
        <r>
          <rPr>
            <sz val="10"/>
            <rFont val="Arial"/>
            <family val="0"/>
          </rPr>
          <t>This is the voltage of the power system.</t>
        </r>
      </text>
    </comment>
    <comment ref="E72" authorId="1">
      <text>
        <r>
          <rPr>
            <sz val="10"/>
            <rFont val="Arial"/>
            <family val="0"/>
          </rPr>
          <t>This is the voltage of the wire run between the PV Array and the charge controller.</t>
        </r>
      </text>
    </comment>
    <comment ref="E74" authorId="0">
      <text>
        <r>
          <rPr>
            <sz val="10"/>
            <rFont val="Arial"/>
            <family val="0"/>
          </rPr>
          <t>The expected average temperature goes here. Play with this number, and you'll see why heated battery compartments are a good idea.</t>
        </r>
      </text>
    </comment>
    <comment ref="E75" authorId="0">
      <text>
        <r>
          <rPr>
            <sz val="10"/>
            <rFont val="Arial"/>
            <family val="0"/>
          </rPr>
          <t>For every 15F below 77F, efficiency decreases by 10%</t>
        </r>
      </text>
    </comment>
    <comment ref="E77" authorId="1">
      <text>
        <r>
          <rPr>
            <sz val="10"/>
            <rFont val="Arial"/>
            <family val="0"/>
          </rPr>
          <t>This is how many hours a day of sun you get. 5 is about the average.</t>
        </r>
      </text>
    </comment>
    <comment ref="E84" authorId="1">
      <text>
        <r>
          <rPr>
            <sz val="10"/>
            <rFont val="Arial"/>
            <family val="0"/>
          </rPr>
          <t>These are a rough guess based on max density.</t>
        </r>
      </text>
    </comment>
    <comment ref="E139" authorId="1">
      <text>
        <r>
          <rPr>
            <sz val="10"/>
            <rFont val="Arial"/>
            <family val="0"/>
          </rPr>
          <t>This is the voltage of the power system.</t>
        </r>
      </text>
    </comment>
    <comment ref="E140" authorId="1">
      <text>
        <r>
          <rPr>
            <sz val="10"/>
            <rFont val="Arial"/>
            <family val="0"/>
          </rPr>
          <t>This is the voltage of the wire run between the PV Array and the charge controller.</t>
        </r>
      </text>
    </comment>
    <comment ref="E142" authorId="0">
      <text>
        <r>
          <rPr>
            <sz val="10"/>
            <rFont val="Arial"/>
            <family val="0"/>
          </rPr>
          <t>The expected average temperature goes here. Play with this number, and you'll see why heated battery compartments are a good idea.</t>
        </r>
      </text>
    </comment>
    <comment ref="E143" authorId="0">
      <text>
        <r>
          <rPr>
            <sz val="10"/>
            <rFont val="Arial"/>
            <family val="0"/>
          </rPr>
          <t>For every 15F below 77F, efficiency decreases by 10%</t>
        </r>
      </text>
    </comment>
    <comment ref="E145" authorId="1">
      <text>
        <r>
          <rPr>
            <sz val="10"/>
            <rFont val="Arial"/>
            <family val="0"/>
          </rPr>
          <t>This is how many hours a day of sun you get. 5 is about the average.</t>
        </r>
      </text>
    </comment>
    <comment ref="E152" authorId="1">
      <text>
        <r>
          <rPr>
            <sz val="10"/>
            <rFont val="Arial"/>
            <family val="0"/>
          </rPr>
          <t>These are a rough guess based on max density.</t>
        </r>
      </text>
    </comment>
  </commentList>
</comments>
</file>

<file path=xl/comments2.xml><?xml version="1.0" encoding="utf-8"?>
<comments xmlns="http://schemas.openxmlformats.org/spreadsheetml/2006/main">
  <authors>
    <author>rs</author>
    <author/>
  </authors>
  <commentList>
    <comment ref="D33" authorId="0">
      <text>
        <r>
          <rPr>
            <sz val="10"/>
            <rFont val="Arial"/>
            <family val="0"/>
          </rPr>
          <t>0.769 Kwh used in 0.9 hours</t>
        </r>
      </text>
    </comment>
    <comment ref="D57" authorId="1">
      <text>
        <r>
          <rPr>
            <sz val="10"/>
            <rFont val="Arial"/>
            <family val="0"/>
          </rPr>
          <t>25 minutes:
.209kw total
Peak 10W
117W when spinning</t>
        </r>
      </text>
    </comment>
  </commentList>
</comments>
</file>

<file path=xl/comments7.xml><?xml version="1.0" encoding="utf-8"?>
<comments xmlns="http://schemas.openxmlformats.org/spreadsheetml/2006/main">
  <authors>
    <author>rs</author>
  </authors>
  <commentList>
    <comment ref="E19" authorId="0">
      <text>
        <r>
          <rPr>
            <sz val="10"/>
            <rFont val="Arial"/>
            <family val="0"/>
          </rPr>
          <t>Subtract 15% when running off of batteries from the published specs.</t>
        </r>
      </text>
    </comment>
    <comment ref="G19" authorId="0">
      <text>
        <r>
          <rPr>
            <sz val="10"/>
            <rFont val="Arial"/>
            <family val="0"/>
          </rPr>
          <t>Subtract 15% from the published specs for battery use.</t>
        </r>
      </text>
    </comment>
    <comment ref="E29" authorId="0">
      <text>
        <r>
          <rPr>
            <sz val="10"/>
            <rFont val="Arial"/>
            <family val="0"/>
          </rPr>
          <t>Subtract 15% when running off of batteries from the published specs.</t>
        </r>
      </text>
    </comment>
    <comment ref="G29" authorId="0">
      <text>
        <r>
          <rPr>
            <sz val="10"/>
            <rFont val="Arial"/>
            <family val="0"/>
          </rPr>
          <t>Subtract 15% from the published specs for battrery use.</t>
        </r>
      </text>
    </comment>
    <comment ref="G30" authorId="0">
      <text>
        <r>
          <rPr>
            <sz val="10"/>
            <rFont val="Arial"/>
            <family val="0"/>
          </rPr>
          <t>Subtract 15% from the published specs for battrery use.</t>
        </r>
      </text>
    </comment>
    <comment ref="E39" authorId="0">
      <text>
        <r>
          <rPr>
            <sz val="10"/>
            <rFont val="Arial"/>
            <family val="0"/>
          </rPr>
          <t>Subtract 15% when running off of batteries from the published specs.</t>
        </r>
      </text>
    </comment>
    <comment ref="G39" authorId="0">
      <text>
        <r>
          <rPr>
            <sz val="10"/>
            <rFont val="Arial"/>
            <family val="0"/>
          </rPr>
          <t>Subtract 15% from the published specs for battrery use.</t>
        </r>
      </text>
    </comment>
    <comment ref="E49" authorId="0">
      <text>
        <r>
          <rPr>
            <sz val="10"/>
            <rFont val="Arial"/>
            <family val="0"/>
          </rPr>
          <t>Subtract 15% when running off of batteries from the published specs.</t>
        </r>
      </text>
    </comment>
    <comment ref="G49" authorId="0">
      <text>
        <r>
          <rPr>
            <sz val="10"/>
            <rFont val="Arial"/>
            <family val="0"/>
          </rPr>
          <t>Subtract 15% from the published specs for battrery use.</t>
        </r>
      </text>
    </comment>
  </commentList>
</comments>
</file>

<file path=xl/sharedStrings.xml><?xml version="1.0" encoding="utf-8"?>
<sst xmlns="http://schemas.openxmlformats.org/spreadsheetml/2006/main" count="818" uniqueCount="818">
  <si>
    <t>Seneca Software &amp; Solar, Inc.</t>
  </si>
  <si>
    <t>P.O. Box 506</t>
  </si>
  <si>
    <t>Nederland, CO 80466</t>
  </si>
  <si>
    <r>
      <rPr>
        <u val="single"/>
        <sz val="10"/>
        <color indexed="9"/>
        <rFont val="Bookman L"/>
        <family val="0"/>
      </rPr>
      <t>http://www.senecass.com</t>
    </r>
  </si>
  <si>
    <t>Power Consumption Worksheet</t>
  </si>
  <si>
    <t>Type</t>
  </si>
  <si>
    <t>AC Device</t>
  </si>
  <si>
    <t>Peak</t>
  </si>
  <si>
    <t>Watts</t>
  </si>
  <si>
    <t>Consumption</t>
  </si>
  <si>
    <t>Profile</t>
  </si>
  <si>
    <t>Computers</t>
  </si>
  <si>
    <t>House</t>
  </si>
  <si>
    <t>Laptop 12V supply</t>
  </si>
  <si>
    <t>Laser Printer</t>
  </si>
  <si>
    <t>457W (peak)</t>
  </si>
  <si>
    <t>LCD Monitor</t>
  </si>
  <si>
    <t>Laptop</t>
  </si>
  <si>
    <t>Docking Station</t>
  </si>
  <si>
    <t>S21 Monitor</t>
  </si>
  <si>
    <t>KDS Monitor</t>
  </si>
  <si>
    <t>Nokia Monitor</t>
  </si>
  <si>
    <t>Embedded PC</t>
  </si>
  <si>
    <t>Octagon PC500</t>
  </si>
  <si>
    <t>Debian Box</t>
  </si>
  <si>
    <t>NT Box</t>
  </si>
  <si>
    <t>SUSE Box</t>
  </si>
  <si>
    <t>Sun Ultra 1</t>
  </si>
  <si>
    <t>HP J5600</t>
  </si>
  <si>
    <t>Router</t>
  </si>
  <si>
    <t>DSU/CSU</t>
  </si>
  <si>
    <t>Terminal Server</t>
  </si>
  <si>
    <t>56K US Robotics Modem</t>
  </si>
  <si>
    <t>PC Speakers</t>
  </si>
  <si>
    <t>Kitchen</t>
  </si>
  <si>
    <t>Coffee Grinder</t>
  </si>
  <si>
    <t>Toaster Oven</t>
  </si>
  <si>
    <t>(1450 peak)</t>
  </si>
  <si>
    <t>Blender</t>
  </si>
  <si>
    <t>Dish Washer</t>
  </si>
  <si>
    <t xml:space="preserve"> (1455 peak)</t>
  </si>
  <si>
    <t>Tools</t>
  </si>
  <si>
    <t>Soldering Iron</t>
  </si>
  <si>
    <t>Sewing Machine</t>
  </si>
  <si>
    <t xml:space="preserve"> (15W lamp)</t>
  </si>
  <si>
    <t>Glue Gun</t>
  </si>
  <si>
    <t>Rotary Hand Saw</t>
  </si>
  <si>
    <t>Small Hand drill</t>
  </si>
  <si>
    <t>Table Saw</t>
  </si>
  <si>
    <t>Drill Press</t>
  </si>
  <si>
    <t>Jigsaw</t>
  </si>
  <si>
    <t>Cordless Tool Charger</t>
  </si>
  <si>
    <t>Household</t>
  </si>
  <si>
    <t>Stereo/Amp</t>
  </si>
  <si>
    <t>Tape Deck</t>
  </si>
  <si>
    <t>TV</t>
  </si>
  <si>
    <t>VCR</t>
  </si>
  <si>
    <t>CD Player</t>
  </si>
  <si>
    <t>Cordless Phone</t>
  </si>
  <si>
    <t>Yaesu Charger</t>
  </si>
  <si>
    <t>Maxon Charger</t>
  </si>
  <si>
    <t>Cell Charger</t>
  </si>
  <si>
    <t>Alarm Clock</t>
  </si>
  <si>
    <t>120VAC Lights</t>
  </si>
  <si>
    <t>24VDC Lights</t>
  </si>
  <si>
    <t>Clothes Washer</t>
  </si>
  <si>
    <t>Heavy Loads</t>
  </si>
  <si>
    <t>Refrigerator</t>
  </si>
  <si>
    <t>Hot Tub Pump</t>
  </si>
  <si>
    <t>Deep Well Pump</t>
  </si>
  <si>
    <t>Water Pressure Booster Pump</t>
  </si>
  <si>
    <t>Vacuum</t>
  </si>
  <si>
    <t>Total Watt/Hours</t>
  </si>
  <si>
    <t>Adjusted for Inefficiency</t>
  </si>
  <si>
    <t>Module Sizing</t>
  </si>
  <si>
    <t>System Nominal Voltage</t>
  </si>
  <si>
    <t>PV Array Voltage</t>
  </si>
  <si>
    <t>Total Amp Hours Per Day</t>
  </si>
  <si>
    <t>Lowest Temperature</t>
  </si>
  <si>
    <t>Charger Losses Multiplier</t>
  </si>
  <si>
    <t>Battery Losses</t>
  </si>
  <si>
    <t>Hours per day of Sun</t>
  </si>
  <si>
    <t>Total Array Current in Amps Needed</t>
  </si>
  <si>
    <t>Module Model</t>
  </si>
  <si>
    <t>165W</t>
  </si>
  <si>
    <t>Number of Modules Needed in Series</t>
  </si>
  <si>
    <t>Number of Modules Needed in Parallel</t>
  </si>
  <si>
    <t>Total Number of Modules Needed</t>
  </si>
  <si>
    <t>Total Array Length in feet</t>
  </si>
  <si>
    <t>Total Array Width in feet</t>
  </si>
  <si>
    <t>Total Cost of Modules</t>
  </si>
  <si>
    <t>Module Data</t>
  </si>
  <si>
    <t>Manufacturer</t>
  </si>
  <si>
    <t>Cell Type</t>
  </si>
  <si>
    <t>Module Wattage</t>
  </si>
  <si>
    <t>Module Nominal Voltage</t>
  </si>
  <si>
    <t>Module Amperage</t>
  </si>
  <si>
    <t>Module Open Voltage</t>
  </si>
  <si>
    <t>Module Short Circuit</t>
  </si>
  <si>
    <t>Module Length</t>
  </si>
  <si>
    <t>Module Width</t>
  </si>
  <si>
    <t>Module Cost</t>
  </si>
  <si>
    <t>Wire  &amp; Breaker sizing</t>
  </si>
  <si>
    <t>Cold Weather factor (-40F)</t>
  </si>
  <si>
    <t>True Amperage per panel</t>
  </si>
  <si>
    <t>Total Array amperage</t>
  </si>
  <si>
    <t>Max Array Voltage</t>
  </si>
  <si>
    <t>Max Array Ampacity</t>
  </si>
  <si>
    <t>Battery Sizing</t>
  </si>
  <si>
    <t>Reserve Time in Days</t>
  </si>
  <si>
    <t>Usable Battery Capacity</t>
  </si>
  <si>
    <t>Min Capacity in Amp Hours</t>
  </si>
  <si>
    <t>Battery Model</t>
  </si>
  <si>
    <t>JRB8796</t>
  </si>
  <si>
    <t>Battery Amp Hour Capacity</t>
  </si>
  <si>
    <t>Number of Batteries in Parallel</t>
  </si>
  <si>
    <t>Battery Voltage</t>
  </si>
  <si>
    <t>Number of Batteries in Series</t>
  </si>
  <si>
    <t>Total Number of Batteries Needed</t>
  </si>
  <si>
    <t>Total Battery Amp Hours</t>
  </si>
  <si>
    <t>Total Cost of Batteries</t>
  </si>
  <si>
    <t>Power Control</t>
  </si>
  <si>
    <t>Inverter Model</t>
  </si>
  <si>
    <t>SW4024</t>
  </si>
  <si>
    <t>Inverter Output</t>
  </si>
  <si>
    <t>Inverter Voltage</t>
  </si>
  <si>
    <t>Inverter Price</t>
  </si>
  <si>
    <t>Power Center Model</t>
  </si>
  <si>
    <t>DC250</t>
  </si>
  <si>
    <t>Power Center Price</t>
  </si>
  <si>
    <t>(without inverter)</t>
  </si>
  <si>
    <t>Total Price</t>
  </si>
  <si>
    <t>Total Cost of System</t>
  </si>
  <si>
    <t>(without sales tax)</t>
  </si>
  <si>
    <t>Sales Tax</t>
  </si>
  <si>
    <t>(Colorado)</t>
  </si>
  <si>
    <t>Discount (if any)</t>
  </si>
  <si>
    <t>Discounted cost</t>
  </si>
  <si>
    <t>Single System Configuration</t>
  </si>
  <si>
    <t>Module Sizing</t>
  </si>
  <si>
    <t>System Nominal Voltage</t>
  </si>
  <si>
    <t>PV Array Voltage</t>
  </si>
  <si>
    <t>Total Amp Hours Per Day</t>
  </si>
  <si>
    <t>Lowest Temperature</t>
  </si>
  <si>
    <t>Charger Losses Multiplier</t>
  </si>
  <si>
    <t>Battery Losses</t>
  </si>
  <si>
    <t>Hours per day of Sun</t>
  </si>
  <si>
    <t>Total Array Current in Amps Needed</t>
  </si>
  <si>
    <t>Module Model</t>
  </si>
  <si>
    <t>KC70</t>
  </si>
  <si>
    <t>Number of Modules Needed in Series</t>
  </si>
  <si>
    <t>Number of Modules Needed in Parallel</t>
  </si>
  <si>
    <t>Total Number of Modules Needed</t>
  </si>
  <si>
    <t>Total Array Length in feet</t>
  </si>
  <si>
    <t>Total Array Width in feet</t>
  </si>
  <si>
    <t>Total Cost of Modules</t>
  </si>
  <si>
    <t>Module Data</t>
  </si>
  <si>
    <t>Manufacturer</t>
  </si>
  <si>
    <t>Cell Type</t>
  </si>
  <si>
    <t>Module Wattage</t>
  </si>
  <si>
    <t>Module Nominal Voltage</t>
  </si>
  <si>
    <t>Module Amperage</t>
  </si>
  <si>
    <t>Module Open Voltage</t>
  </si>
  <si>
    <t>Module Short Circuit</t>
  </si>
  <si>
    <t>Module Length</t>
  </si>
  <si>
    <t>Module Width</t>
  </si>
  <si>
    <t>Module Cost</t>
  </si>
  <si>
    <t>Wire  &amp; Breaker sizing</t>
  </si>
  <si>
    <t>Cold Weather factor (-40F)</t>
  </si>
  <si>
    <t>True Amperage per panel</t>
  </si>
  <si>
    <t>Total Array amperage</t>
  </si>
  <si>
    <t>Max Array Voltage</t>
  </si>
  <si>
    <t>Max Array Ampacity</t>
  </si>
  <si>
    <t>Battery Sizing</t>
  </si>
  <si>
    <t>Reserve Time in Days</t>
  </si>
  <si>
    <t>Usable Battery Capacity</t>
  </si>
  <si>
    <t>Min Capacity in Amp Hours</t>
  </si>
  <si>
    <t>Battery Model</t>
  </si>
  <si>
    <t>Battery Amp Hour Capacity</t>
  </si>
  <si>
    <t>Number of Batteries in Parallel</t>
  </si>
  <si>
    <t>Battery Voltage</t>
  </si>
  <si>
    <t>Number of Batteries in Series</t>
  </si>
  <si>
    <t>Total Number of Batteries Needed</t>
  </si>
  <si>
    <t>Total Battery Amp Hours</t>
  </si>
  <si>
    <t>Total Cost of Batteries</t>
  </si>
  <si>
    <t>Total Cost of System</t>
  </si>
  <si>
    <t>(without sales tax)</t>
  </si>
  <si>
    <t>Sales Tax</t>
  </si>
  <si>
    <t>(Colorado)</t>
  </si>
  <si>
    <t>Discount (if any)</t>
  </si>
  <si>
    <t>Discounted cost</t>
  </si>
  <si>
    <t>Usage Profiles</t>
  </si>
  <si>
    <t>Office</t>
  </si>
  <si>
    <t>House</t>
  </si>
  <si>
    <t>Type</t>
  </si>
  <si>
    <t>AC Device</t>
  </si>
  <si>
    <t>Used</t>
  </si>
  <si>
    <t>Watts</t>
  </si>
  <si>
    <t>Quantity</t>
  </si>
  <si>
    <t>Daily Usage</t>
  </si>
  <si>
    <t>Days Used</t>
  </si>
  <si>
    <t>Consumption</t>
  </si>
  <si>
    <t>Used</t>
  </si>
  <si>
    <t>Quantity</t>
  </si>
  <si>
    <t>Daily Usage</t>
  </si>
  <si>
    <t>Days Used</t>
  </si>
  <si>
    <t>Consumption</t>
  </si>
  <si>
    <t>Computers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</si>
  <si>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</si>
  <si>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</si>
  <si>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</si>
  <si>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</si>
  <si>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</si>
  <si>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</si>
  <si>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</si>
  <si>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</si>
  <si>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Laptop 12V supply</t>
  </si>
  <si>
    <t>Y</t>
  </si>
  <si>
    <t>N</t>
  </si>
  <si>
    <t>Laser Printer</t>
  </si>
  <si>
    <t>Y</t>
  </si>
  <si>
    <t>N</t>
  </si>
  <si>
    <t>LCD Monitor</t>
  </si>
  <si>
    <t>Y</t>
  </si>
  <si>
    <t>N</t>
  </si>
  <si>
    <t>Laptop</t>
  </si>
  <si>
    <t>N</t>
  </si>
  <si>
    <t>N</t>
  </si>
  <si>
    <t>Docking Station</t>
  </si>
  <si>
    <t>N</t>
  </si>
  <si>
    <t>N</t>
  </si>
  <si>
    <t>S21 Monitor</t>
  </si>
  <si>
    <t>N</t>
  </si>
  <si>
    <t>N</t>
  </si>
  <si>
    <t>KDS Monitor</t>
  </si>
  <si>
    <t>Y</t>
  </si>
  <si>
    <t>N</t>
  </si>
  <si>
    <t>Nokia Monitor</t>
  </si>
  <si>
    <t>N</t>
  </si>
  <si>
    <t>N</t>
  </si>
  <si>
    <t>Embedded PC</t>
  </si>
  <si>
    <t>Y</t>
  </si>
  <si>
    <t>Y</t>
  </si>
  <si>
    <t>Octagon PC500</t>
  </si>
  <si>
    <t>N</t>
  </si>
  <si>
    <t>N</t>
  </si>
  <si>
    <t>Debian Box</t>
  </si>
  <si>
    <t>Y</t>
  </si>
  <si>
    <t xml:space="preserve"> </t>
  </si>
  <si>
    <t>N</t>
  </si>
  <si>
    <t>NT Box</t>
  </si>
  <si>
    <t>Y</t>
  </si>
  <si>
    <t xml:space="preserve"> </t>
  </si>
  <si>
    <t>N</t>
  </si>
  <si>
    <t>SUSE Box</t>
  </si>
  <si>
    <t>N</t>
  </si>
  <si>
    <t>N</t>
  </si>
  <si>
    <t>Sun Ultra 1</t>
  </si>
  <si>
    <t>Y</t>
  </si>
  <si>
    <t>N</t>
  </si>
  <si>
    <t>HP J5600</t>
  </si>
  <si>
    <t>Y</t>
  </si>
  <si>
    <t>N</t>
  </si>
  <si>
    <t>Router</t>
  </si>
  <si>
    <t>Y</t>
  </si>
  <si>
    <t>N</t>
  </si>
  <si>
    <t>DSU/CSU</t>
  </si>
  <si>
    <t>Y</t>
  </si>
  <si>
    <t>N</t>
  </si>
  <si>
    <t>Terminal Server</t>
  </si>
  <si>
    <t>N</t>
  </si>
  <si>
    <t>N</t>
  </si>
  <si>
    <t>Zycel 1496+ Modem</t>
  </si>
  <si>
    <t>N</t>
  </si>
  <si>
    <t>N</t>
  </si>
  <si>
    <t>56K US Robotics Modem</t>
  </si>
  <si>
    <t>N</t>
  </si>
  <si>
    <t>N</t>
  </si>
  <si>
    <t>PC Speakers</t>
  </si>
  <si>
    <t>Y</t>
  </si>
  <si>
    <t>N</t>
  </si>
  <si>
    <t>Kitchen</t>
  </si>
  <si>
    <t>Coffee Grinder</t>
  </si>
  <si>
    <t>N</t>
  </si>
  <si>
    <t>Y</t>
  </si>
  <si>
    <t>Toaster Oven</t>
  </si>
  <si>
    <t>Y</t>
  </si>
  <si>
    <t>Y</t>
  </si>
  <si>
    <t>Blender</t>
  </si>
  <si>
    <t>N</t>
  </si>
  <si>
    <t>N</t>
  </si>
  <si>
    <t>Dish Washer</t>
  </si>
  <si>
    <t>N</t>
  </si>
  <si>
    <t>Y</t>
  </si>
  <si>
    <t>Tools</t>
  </si>
  <si>
    <t>Soldering Iron</t>
  </si>
  <si>
    <t>Y</t>
  </si>
  <si>
    <t>N</t>
  </si>
  <si>
    <t>Sewing Machine</t>
  </si>
  <si>
    <t>N</t>
  </si>
  <si>
    <t>Y</t>
  </si>
  <si>
    <t>Glue Gun</t>
  </si>
  <si>
    <t>N</t>
  </si>
  <si>
    <t>N</t>
  </si>
  <si>
    <t>Rotary Hand Saw</t>
  </si>
  <si>
    <t>N</t>
  </si>
  <si>
    <t xml:space="preserve"> </t>
  </si>
  <si>
    <t>N</t>
  </si>
  <si>
    <t>Small Hand drill</t>
  </si>
  <si>
    <t>N</t>
  </si>
  <si>
    <t>N</t>
  </si>
  <si>
    <t>Table Saw</t>
  </si>
  <si>
    <t>N</t>
  </si>
  <si>
    <t>N</t>
  </si>
  <si>
    <t>Drill Press</t>
  </si>
  <si>
    <t>N</t>
  </si>
  <si>
    <t>N</t>
  </si>
  <si>
    <t>Jigsaw</t>
  </si>
  <si>
    <t>N</t>
  </si>
  <si>
    <t>N</t>
  </si>
  <si>
    <t>Cordless Tool Charger</t>
  </si>
  <si>
    <t>Y</t>
  </si>
  <si>
    <t>N</t>
  </si>
  <si>
    <t>Household</t>
  </si>
  <si>
    <t>Stereo/Amp</t>
  </si>
  <si>
    <t>Y</t>
  </si>
  <si>
    <t>Y</t>
  </si>
  <si>
    <t>Tape Deck</t>
  </si>
  <si>
    <t>Y</t>
  </si>
  <si>
    <t>Y</t>
  </si>
  <si>
    <t>TV</t>
  </si>
  <si>
    <t>Y</t>
  </si>
  <si>
    <t>Y</t>
  </si>
  <si>
    <t>VCR</t>
  </si>
  <si>
    <t>Y</t>
  </si>
  <si>
    <t>Y</t>
  </si>
  <si>
    <t>CD Player</t>
  </si>
  <si>
    <t>Y</t>
  </si>
  <si>
    <t>Y</t>
  </si>
  <si>
    <t>Cordless Phone</t>
  </si>
  <si>
    <t>Y</t>
  </si>
  <si>
    <t>Y</t>
  </si>
  <si>
    <t>Yaesu Charger</t>
  </si>
  <si>
    <t>Y</t>
  </si>
  <si>
    <t>N</t>
  </si>
  <si>
    <t>Maxon Charger</t>
  </si>
  <si>
    <t>Y</t>
  </si>
  <si>
    <t>N</t>
  </si>
  <si>
    <t>Cell Charger</t>
  </si>
  <si>
    <t>Y</t>
  </si>
  <si>
    <t>Y</t>
  </si>
  <si>
    <t>Alarm Clock</t>
  </si>
  <si>
    <t>N</t>
  </si>
  <si>
    <t>Y</t>
  </si>
  <si>
    <t>120VAC Lights</t>
  </si>
  <si>
    <t>N</t>
  </si>
  <si>
    <t>Y</t>
  </si>
  <si>
    <t>24VDC Lights</t>
  </si>
  <si>
    <t>Y</t>
  </si>
  <si>
    <t>Y</t>
  </si>
  <si>
    <t>Clothes Washer</t>
  </si>
  <si>
    <t>N</t>
  </si>
  <si>
    <t>Y</t>
  </si>
  <si>
    <t>Heavy Loads</t>
  </si>
  <si>
    <t>Refrigerator</t>
  </si>
  <si>
    <t>N</t>
  </si>
  <si>
    <t>Y</t>
  </si>
  <si>
    <t>Hot Tub Pump</t>
  </si>
  <si>
    <t>N</t>
  </si>
  <si>
    <t>N</t>
  </si>
  <si>
    <t>Deep Well Pump</t>
  </si>
  <si>
    <t>N</t>
  </si>
  <si>
    <t>Y</t>
  </si>
  <si>
    <t>Water Pressure Booster Pump</t>
  </si>
  <si>
    <t>N</t>
  </si>
  <si>
    <t>Y</t>
  </si>
  <si>
    <t>Vacuum</t>
  </si>
  <si>
    <t>N</t>
  </si>
  <si>
    <t>Y</t>
  </si>
  <si>
    <t>Total Watt/Hours</t>
  </si>
  <si>
    <t>Adjusted for Inefficiency</t>
  </si>
  <si>
    <t>Raw PV Data</t>
  </si>
  <si>
    <t>Model</t>
  </si>
  <si>
    <t>Watts</t>
  </si>
  <si>
    <t>Volts</t>
  </si>
  <si>
    <t>Amps</t>
  </si>
  <si>
    <t>Open Circuit Voltage</t>
  </si>
  <si>
    <t>Short Circuit Current</t>
  </si>
  <si>
    <t>Length</t>
  </si>
  <si>
    <t>Width</t>
  </si>
  <si>
    <t>Type</t>
  </si>
  <si>
    <t>Manufacturer</t>
  </si>
  <si>
    <t>Cost</t>
  </si>
  <si>
    <t>Cost Per Watt</t>
  </si>
  <si>
    <t>Unisolar</t>
  </si>
  <si>
    <t>US5</t>
  </si>
  <si>
    <t>Triple Junction</t>
  </si>
  <si>
    <t>UniSolar</t>
  </si>
  <si>
    <t>US11</t>
  </si>
  <si>
    <t>Triple Junction</t>
  </si>
  <si>
    <t>UniSolar</t>
  </si>
  <si>
    <t>US21</t>
  </si>
  <si>
    <t>Triple Junction</t>
  </si>
  <si>
    <t>UniSolar</t>
  </si>
  <si>
    <t>US32</t>
  </si>
  <si>
    <t>Triple Junction</t>
  </si>
  <si>
    <t>UniSolar</t>
  </si>
  <si>
    <t>US42</t>
  </si>
  <si>
    <t>Triple Junction</t>
  </si>
  <si>
    <t>UniSolar</t>
  </si>
  <si>
    <t>US64</t>
  </si>
  <si>
    <t>Triple Junction</t>
  </si>
  <si>
    <t>UniSolar</t>
  </si>
  <si>
    <t>Shell</t>
  </si>
  <si>
    <t>SR50</t>
  </si>
  <si>
    <t>Single-crystal</t>
  </si>
  <si>
    <t>Shell</t>
  </si>
  <si>
    <t>SR55</t>
  </si>
  <si>
    <t>Single-crystal</t>
  </si>
  <si>
    <t>Shell</t>
  </si>
  <si>
    <t>SP70</t>
  </si>
  <si>
    <t>Single-crystal</t>
  </si>
  <si>
    <t>Shell</t>
  </si>
  <si>
    <t>SM75</t>
  </si>
  <si>
    <t>Single-crystal</t>
  </si>
  <si>
    <t>Shell</t>
  </si>
  <si>
    <t>SM110</t>
  </si>
  <si>
    <t>Single-crystal</t>
  </si>
  <si>
    <t>Shell</t>
  </si>
  <si>
    <t>SP130</t>
  </si>
  <si>
    <t>Single-crystal</t>
  </si>
  <si>
    <t>Shell</t>
  </si>
  <si>
    <t>SP140</t>
  </si>
  <si>
    <t>Single-crystal</t>
  </si>
  <si>
    <t>Shell</t>
  </si>
  <si>
    <t>SP150</t>
  </si>
  <si>
    <t>Single-crystal</t>
  </si>
  <si>
    <t>Shell</t>
  </si>
  <si>
    <t xml:space="preserve"> </t>
  </si>
  <si>
    <t>AstroPower</t>
  </si>
  <si>
    <t>AP50</t>
  </si>
  <si>
    <t>Single-crystal</t>
  </si>
  <si>
    <t>AstroPower</t>
  </si>
  <si>
    <t>AP75</t>
  </si>
  <si>
    <t>Single-crystal</t>
  </si>
  <si>
    <t>AstroPower</t>
  </si>
  <si>
    <t>AP110</t>
  </si>
  <si>
    <t>Single-crystal</t>
  </si>
  <si>
    <t>AstroPower</t>
  </si>
  <si>
    <t>AP120</t>
  </si>
  <si>
    <t>Single-crystal</t>
  </si>
  <si>
    <t>AstroPower</t>
  </si>
  <si>
    <t xml:space="preserve"> </t>
  </si>
  <si>
    <t>Kyocera</t>
  </si>
  <si>
    <t>KC70</t>
  </si>
  <si>
    <t>Polycystaline</t>
  </si>
  <si>
    <t>Kyocera</t>
  </si>
  <si>
    <t>KC80</t>
  </si>
  <si>
    <t>Polycystaline</t>
  </si>
  <si>
    <t>Kyocera</t>
  </si>
  <si>
    <t>KC120</t>
  </si>
  <si>
    <t>Polycystaline</t>
  </si>
  <si>
    <t>Kyocera</t>
  </si>
  <si>
    <t>KC125</t>
  </si>
  <si>
    <t>Polycystaline</t>
  </si>
  <si>
    <t>Kyocera</t>
  </si>
  <si>
    <t>KC158</t>
  </si>
  <si>
    <t>Polycystaline</t>
  </si>
  <si>
    <t>Kyocera</t>
  </si>
  <si>
    <t>KC167</t>
  </si>
  <si>
    <t>Polycystaline</t>
  </si>
  <si>
    <t>Kyocera</t>
  </si>
  <si>
    <t xml:space="preserve"> </t>
  </si>
  <si>
    <t>BP/Solarex</t>
  </si>
  <si>
    <t>SX75</t>
  </si>
  <si>
    <t>Polycystaline</t>
  </si>
  <si>
    <t>BP/Solarex</t>
  </si>
  <si>
    <t>SX110</t>
  </si>
  <si>
    <t>Polycystaline</t>
  </si>
  <si>
    <t>BP/Solarex</t>
  </si>
  <si>
    <t>SX120</t>
  </si>
  <si>
    <t>Polycystaline</t>
  </si>
  <si>
    <t>BP/Solarex</t>
  </si>
  <si>
    <t>SX140</t>
  </si>
  <si>
    <t>Polycystaline</t>
  </si>
  <si>
    <t>BP/Solarex</t>
  </si>
  <si>
    <t>SX150</t>
  </si>
  <si>
    <t>Polycystaline</t>
  </si>
  <si>
    <t>BP/Solarex</t>
  </si>
  <si>
    <t>SX160</t>
  </si>
  <si>
    <t>Polycystaline</t>
  </si>
  <si>
    <t>BP/Solarex</t>
  </si>
  <si>
    <t>SX170</t>
  </si>
  <si>
    <t>Polycystaline</t>
  </si>
  <si>
    <t>BP/Solarex</t>
  </si>
  <si>
    <t xml:space="preserve"> </t>
  </si>
  <si>
    <t>SunWise</t>
  </si>
  <si>
    <t>SW75</t>
  </si>
  <si>
    <t>Single-crystal</t>
  </si>
  <si>
    <t>SunWise</t>
  </si>
  <si>
    <t>SW85</t>
  </si>
  <si>
    <t>Single-crystal</t>
  </si>
  <si>
    <t>SunWise</t>
  </si>
  <si>
    <t>SW90</t>
  </si>
  <si>
    <t>Single-crystal</t>
  </si>
  <si>
    <t>SunWise</t>
  </si>
  <si>
    <t>SW115</t>
  </si>
  <si>
    <t>Single-crystal</t>
  </si>
  <si>
    <t>SunWise</t>
  </si>
  <si>
    <t>SW120</t>
  </si>
  <si>
    <t>Single-crystal</t>
  </si>
  <si>
    <t>SunWise</t>
  </si>
  <si>
    <t xml:space="preserve"> </t>
  </si>
  <si>
    <t>Sharp</t>
  </si>
  <si>
    <t>123W</t>
  </si>
  <si>
    <t>Polycystaline</t>
  </si>
  <si>
    <t>Sharp</t>
  </si>
  <si>
    <t>80W</t>
  </si>
  <si>
    <t>Polycystaline</t>
  </si>
  <si>
    <t>Sharp</t>
  </si>
  <si>
    <t>165W</t>
  </si>
  <si>
    <t>Polycystaline</t>
  </si>
  <si>
    <t>Sharp</t>
  </si>
  <si>
    <t>175W</t>
  </si>
  <si>
    <t>Single-crystal</t>
  </si>
  <si>
    <t>Sharp</t>
  </si>
  <si>
    <t>185W</t>
  </si>
  <si>
    <t>Single-crystal</t>
  </si>
  <si>
    <t>Sharp</t>
  </si>
  <si>
    <t>Photowatt</t>
  </si>
  <si>
    <t>PW750-80</t>
  </si>
  <si>
    <t>Polycystaline</t>
  </si>
  <si>
    <t>Photowatt</t>
  </si>
  <si>
    <t>PW1000-100</t>
  </si>
  <si>
    <t>Polycystaline</t>
  </si>
  <si>
    <t>Photowatt</t>
  </si>
  <si>
    <t>Evergreen</t>
  </si>
  <si>
    <t>EC55</t>
  </si>
  <si>
    <t>Polycystaline</t>
  </si>
  <si>
    <t>Evergreen</t>
  </si>
  <si>
    <t>EC110</t>
  </si>
  <si>
    <t>Polycystaline</t>
  </si>
  <si>
    <t>Evergreen</t>
  </si>
  <si>
    <t>Real Goods Inverters</t>
  </si>
  <si>
    <t>Model</t>
  </si>
  <si>
    <t>Part No.</t>
  </si>
  <si>
    <t>Output</t>
  </si>
  <si>
    <t>Input</t>
  </si>
  <si>
    <t>Charger</t>
  </si>
  <si>
    <t>Price</t>
  </si>
  <si>
    <t>Trace</t>
  </si>
  <si>
    <t>27-212</t>
  </si>
  <si>
    <t>Y</t>
  </si>
  <si>
    <t>DR1512</t>
  </si>
  <si>
    <t>127-237</t>
  </si>
  <si>
    <t>Y</t>
  </si>
  <si>
    <t>DR2412</t>
  </si>
  <si>
    <t>27-245</t>
  </si>
  <si>
    <t>Y</t>
  </si>
  <si>
    <t>27-225</t>
  </si>
  <si>
    <t>Y</t>
  </si>
  <si>
    <t>SW2512</t>
  </si>
  <si>
    <t>27-247</t>
  </si>
  <si>
    <t>Y</t>
  </si>
  <si>
    <t>27-222</t>
  </si>
  <si>
    <t>Y</t>
  </si>
  <si>
    <t>DR1524</t>
  </si>
  <si>
    <t>27-238</t>
  </si>
  <si>
    <t>Y</t>
  </si>
  <si>
    <t>DR2424</t>
  </si>
  <si>
    <t>27-242</t>
  </si>
  <si>
    <t>Y</t>
  </si>
  <si>
    <t>DR3624</t>
  </si>
  <si>
    <t>27-246</t>
  </si>
  <si>
    <t>Y</t>
  </si>
  <si>
    <t>27-231</t>
  </si>
  <si>
    <t>Y</t>
  </si>
  <si>
    <t>27-233</t>
  </si>
  <si>
    <t>Y</t>
  </si>
  <si>
    <t>27-229</t>
  </si>
  <si>
    <t>Y</t>
  </si>
  <si>
    <t>SW4024</t>
  </si>
  <si>
    <t>27-236</t>
  </si>
  <si>
    <t>Y</t>
  </si>
  <si>
    <t>SW4048</t>
  </si>
  <si>
    <t>27-241</t>
  </si>
  <si>
    <t>Y</t>
  </si>
  <si>
    <t>SW5548</t>
  </si>
  <si>
    <t>27-249</t>
  </si>
  <si>
    <t>Y</t>
  </si>
  <si>
    <t>Heart</t>
  </si>
  <si>
    <t>Freedom 10</t>
  </si>
  <si>
    <t>27-405</t>
  </si>
  <si>
    <t>Y</t>
  </si>
  <si>
    <t>Freedom 20</t>
  </si>
  <si>
    <t>27-408</t>
  </si>
  <si>
    <t>Y</t>
  </si>
  <si>
    <t>Freedom 25</t>
  </si>
  <si>
    <t>27-409</t>
  </si>
  <si>
    <t>Y</t>
  </si>
  <si>
    <t>HF-12-600</t>
  </si>
  <si>
    <t>27-404</t>
  </si>
  <si>
    <t>Y</t>
  </si>
  <si>
    <t>Real Goods Power Centers</t>
  </si>
  <si>
    <t>Model</t>
  </si>
  <si>
    <t>Part No.</t>
  </si>
  <si>
    <t>Load in Watts</t>
  </si>
  <si>
    <t>Load in Amps</t>
  </si>
  <si>
    <t>Voltage</t>
  </si>
  <si>
    <t>Price</t>
  </si>
  <si>
    <t>Supported 24V Inverters</t>
  </si>
  <si>
    <t>Trace</t>
  </si>
  <si>
    <t>SW4024/S</t>
  </si>
  <si>
    <t>27-271</t>
  </si>
  <si>
    <t>(Trace SW4024)</t>
  </si>
  <si>
    <t>SW4048/S</t>
  </si>
  <si>
    <t>27-273</t>
  </si>
  <si>
    <t>(Trace SW4028)</t>
  </si>
  <si>
    <t>SW5548/S</t>
  </si>
  <si>
    <t>27-275</t>
  </si>
  <si>
    <t>(Trace SW5548)</t>
  </si>
  <si>
    <t>SW4024/D</t>
  </si>
  <si>
    <t>27-272</t>
  </si>
  <si>
    <t>(Trace SW4024)</t>
  </si>
  <si>
    <t>SW4048/D</t>
  </si>
  <si>
    <t>27-274</t>
  </si>
  <si>
    <t>(Trace SW4048)</t>
  </si>
  <si>
    <t>SW5548/D</t>
  </si>
  <si>
    <t>27-276</t>
  </si>
  <si>
    <t>(Trace SW5548)</t>
  </si>
  <si>
    <t>DR1512/S</t>
  </si>
  <si>
    <t>27-258</t>
  </si>
  <si>
    <t>(Trace DR1512)</t>
  </si>
  <si>
    <t>DR1512/D</t>
  </si>
  <si>
    <t>27-259</t>
  </si>
  <si>
    <t>(Trace DR1512)</t>
  </si>
  <si>
    <t>DR2412/S</t>
  </si>
  <si>
    <t>27-260</t>
  </si>
  <si>
    <t>(Trace DR2412)</t>
  </si>
  <si>
    <t>DR2412/D</t>
  </si>
  <si>
    <t>27-261</t>
  </si>
  <si>
    <t>(Trace DR2412)</t>
  </si>
  <si>
    <t>DR1524/S</t>
  </si>
  <si>
    <t>27-262</t>
  </si>
  <si>
    <t>(Trace DR1524)</t>
  </si>
  <si>
    <t>DR1524/D</t>
  </si>
  <si>
    <t>27-263</t>
  </si>
  <si>
    <t>(Trace DR1524)</t>
  </si>
  <si>
    <t>DR2424/S</t>
  </si>
  <si>
    <t>27-264</t>
  </si>
  <si>
    <t>(Trace DR2424)</t>
  </si>
  <si>
    <t>Disconnects</t>
  </si>
  <si>
    <t>Trace</t>
  </si>
  <si>
    <t>DC175</t>
  </si>
  <si>
    <t>DC250</t>
  </si>
  <si>
    <t>Real Goods Batteries</t>
  </si>
  <si>
    <t>Model</t>
  </si>
  <si>
    <t>Amp Hours</t>
  </si>
  <si>
    <t>Volts</t>
  </si>
  <si>
    <t>Price</t>
  </si>
  <si>
    <t>Price Per Amp Hour</t>
  </si>
  <si>
    <t>Golf Cart</t>
  </si>
  <si>
    <t>L-16</t>
  </si>
  <si>
    <t>Gel Cell</t>
  </si>
  <si>
    <t>HUP</t>
  </si>
  <si>
    <t>(10 yr warrenty)</t>
  </si>
  <si>
    <t>Surrette</t>
  </si>
  <si>
    <t>JRB8796</t>
  </si>
  <si>
    <t>(15 yr warrenty)</t>
  </si>
  <si>
    <t>JRB83206</t>
  </si>
  <si>
    <t>CS-25PS</t>
  </si>
  <si>
    <t>JRB8736</t>
  </si>
  <si>
    <t>JRB8797</t>
  </si>
  <si>
    <t>CS-21PS</t>
  </si>
  <si>
    <t>Notes</t>
  </si>
  <si>
    <t>Battery Temperature</t>
  </si>
  <si>
    <t>Every 15F above 77F, efficiency is increased by 10%</t>
  </si>
  <si>
    <t>Every 15F below 77F, efficiency is decreased by 10%</t>
  </si>
  <si>
    <t>Batteries</t>
  </si>
  <si>
    <t>L-16</t>
  </si>
  <si>
    <t>Amps</t>
  </si>
  <si>
    <t>Available Watts per day</t>
  </si>
  <si>
    <t>Real Goods</t>
  </si>
  <si>
    <t>Type</t>
  </si>
  <si>
    <t>Service Cycle</t>
  </si>
  <si>
    <t>Lift</t>
  </si>
  <si>
    <t>GPM</t>
  </si>
  <si>
    <t>Volts</t>
  </si>
  <si>
    <t>Watts</t>
  </si>
  <si>
    <t>Amps</t>
  </si>
  <si>
    <t>Price</t>
  </si>
  <si>
    <t>SHURflo</t>
  </si>
  <si>
    <t>Diaphram</t>
  </si>
  <si>
    <t>2 yrs</t>
  </si>
  <si>
    <t>SunRise</t>
  </si>
  <si>
    <t>Piston</t>
  </si>
  <si>
    <t>10 yrs</t>
  </si>
  <si>
    <t>(needs a $340 controller)</t>
  </si>
  <si>
    <t>Grundfos</t>
  </si>
  <si>
    <t>Centrifugal</t>
  </si>
  <si>
    <t>15 yrs</t>
  </si>
  <si>
    <t>(additional controller costs $1239)</t>
  </si>
  <si>
    <t>Sunsub 400</t>
  </si>
  <si>
    <t>Sunsub 2000</t>
  </si>
  <si>
    <t>SolarJack</t>
  </si>
  <si>
    <t>SolarJack Duplex</t>
  </si>
  <si>
    <t>Jade Mountain</t>
  </si>
  <si>
    <t>Flowlight</t>
  </si>
  <si>
    <t>GPM</t>
  </si>
  <si>
    <t>PSI</t>
  </si>
  <si>
    <t>Volts</t>
  </si>
  <si>
    <t>Amps</t>
  </si>
  <si>
    <t>Watts</t>
  </si>
  <si>
    <t>Price</t>
  </si>
  <si>
    <t>SHURFLo 2088</t>
  </si>
  <si>
    <t>Dia</t>
  </si>
  <si>
    <t>Length</t>
  </si>
  <si>
    <t>Price</t>
  </si>
  <si>
    <t>Quantity</t>
  </si>
  <si>
    <t>Total</t>
  </si>
  <si>
    <t>Perf Tube</t>
  </si>
  <si>
    <t>Bolts</t>
  </si>
  <si>
    <t>Hinges</t>
  </si>
  <si>
    <t>Propane Fridge</t>
  </si>
  <si>
    <t>Propane /Gallon</t>
  </si>
  <si>
    <t>Cubic Feet</t>
  </si>
  <si>
    <t>Gallons/day</t>
  </si>
  <si>
    <t>Lbs/day</t>
  </si>
  <si>
    <t>Gallons/Year</t>
  </si>
  <si>
    <t>Price</t>
  </si>
  <si>
    <t>Propane Cost</t>
  </si>
  <si>
    <t>Crystal Cold</t>
  </si>
  <si>
    <t>Serval</t>
  </si>
  <si>
    <t>DC Fridge</t>
  </si>
  <si>
    <t>Cubic Feet</t>
  </si>
  <si>
    <t>Amps @ 70</t>
  </si>
  <si>
    <t>Amps @ 90</t>
  </si>
  <si>
    <t>Watts/Day</t>
  </si>
  <si>
    <t>Sunfrost</t>
  </si>
  <si>
    <t>Propane &amp; Electric</t>
  </si>
  <si>
    <t>Gallons/day</t>
  </si>
  <si>
    <t>Amps @ 90</t>
  </si>
  <si>
    <t>Watts/Day</t>
  </si>
  <si>
    <t>Watts @12VDC</t>
  </si>
  <si>
    <t>Explorer</t>
  </si>
  <si>
    <r>
      <rPr>
        <sz val="13"/>
        <color indexed="9"/>
        <rFont val="Albany"/>
        <family val="2"/>
      </rPr>
      <t>Charge</t>
    </r>
    <r>
      <rPr>
        <sz val="10"/>
        <color indexed="8"/>
        <rFont val="Albany"/>
        <family val="2"/>
      </rPr>
      <t xml:space="preserve"> Controllers</t>
    </r>
  </si>
  <si>
    <t>Max Amp</t>
  </si>
  <si>
    <t>Max Voltage</t>
  </si>
  <si>
    <t>Input Voltage</t>
  </si>
  <si>
    <t>Battery Voltage</t>
  </si>
  <si>
    <t>Price</t>
  </si>
  <si>
    <t>Outback</t>
  </si>
  <si>
    <t>MX60</t>
  </si>
  <si>
    <t>RV Products</t>
  </si>
  <si>
    <t>NOTE: this is old data I'm just keeping around for alittle while still</t>
  </si>
  <si>
    <t>Real Goods Panels</t>
  </si>
  <si>
    <t>Model</t>
  </si>
  <si>
    <t>Watts</t>
  </si>
  <si>
    <t>Amps</t>
  </si>
  <si>
    <t>Volts</t>
  </si>
  <si>
    <t>Price</t>
  </si>
  <si>
    <t>Price Per Watt</t>
  </si>
  <si>
    <t>SunSense</t>
  </si>
  <si>
    <t>SP-130</t>
  </si>
  <si>
    <t>SP-140</t>
  </si>
  <si>
    <t>SM-75</t>
  </si>
  <si>
    <t>SP-70</t>
  </si>
  <si>
    <t>SP-65</t>
  </si>
  <si>
    <t>Siemens</t>
  </si>
  <si>
    <t>JPV3601</t>
  </si>
  <si>
    <t xml:space="preserve"> (SR50)</t>
  </si>
  <si>
    <t>JPV155</t>
  </si>
  <si>
    <t xml:space="preserve"> (SR50)</t>
  </si>
  <si>
    <t xml:space="preserve"> (SM55)</t>
  </si>
  <si>
    <t>(SP110)</t>
  </si>
  <si>
    <t>(SP130)</t>
  </si>
  <si>
    <t>SP-140</t>
  </si>
  <si>
    <t>(SP140)</t>
  </si>
  <si>
    <t>(SP150)</t>
  </si>
  <si>
    <t>Uni-Solar</t>
  </si>
  <si>
    <t>(flex)</t>
  </si>
  <si>
    <t>(flex)</t>
  </si>
  <si>
    <t>Evergreen</t>
  </si>
  <si>
    <t>Kyocera</t>
  </si>
  <si>
    <t>AstroPower</t>
  </si>
  <si>
    <t>JPV3970</t>
  </si>
  <si>
    <r>
      <rPr>
        <u val="single"/>
        <sz val="10"/>
        <color indexed="9"/>
        <rFont val="Albany"/>
        <family val="2"/>
      </rPr>
      <t>http://www.earthsolar.com/</t>
    </r>
  </si>
  <si>
    <t>Sharp</t>
  </si>
  <si>
    <t>175W</t>
  </si>
  <si>
    <t>165W</t>
  </si>
  <si>
    <t>123W</t>
  </si>
  <si>
    <t>Kyocera</t>
  </si>
  <si>
    <t>KC120</t>
  </si>
  <si>
    <t>SP140</t>
  </si>
  <si>
    <t>BP Solar</t>
  </si>
  <si>
    <t>2150S</t>
  </si>
  <si>
    <r>
      <rPr>
        <u val="single"/>
        <sz val="10"/>
        <color indexed="9"/>
        <rFont val="Albany"/>
        <family val="2"/>
      </rPr>
      <t>http://www.cheapestsolar.com</t>
    </r>
  </si>
  <si>
    <t>Siemens</t>
  </si>
  <si>
    <t>SP-150</t>
  </si>
  <si>
    <t>BP Solar</t>
  </si>
  <si>
    <t>BP-150</t>
  </si>
  <si>
    <t>Secret Source :-)</t>
  </si>
  <si>
    <t>BP Solar</t>
  </si>
  <si>
    <t>BP150</t>
  </si>
  <si>
    <t>CO Solar</t>
  </si>
  <si>
    <t>Sharp</t>
  </si>
  <si>
    <t>165W</t>
  </si>
  <si>
    <t>123W</t>
  </si>
  <si>
    <t>http://www.partsonsale.com/kyocera.html</t>
  </si>
  <si>
    <t>Kyocera</t>
  </si>
  <si>
    <t>KC158</t>
  </si>
  <si>
    <t>FIXME: for now this is just a set of notes</t>
  </si>
  <si>
    <t>Vertical feet = PSI x 2.31</t>
  </si>
  <si>
    <t>Watts = (Feet x GPM x 18.8)/Pump efficiency%</t>
  </si>
  <si>
    <t>Pump Efficiency is usually around 45% (varies between 30-60%)</t>
  </si>
  <si>
    <t>PV Array Watts = pumping watts x 1.25</t>
  </si>
  <si>
    <t>1 horsepower = 746 watts/pump efficiency</t>
  </si>
  <si>
    <t>Pump Efficiency is usually around 80%, so 1 horsepower = 932 watts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</si>
</sst>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@"/>
    <numFmt numFmtId="166" formatCode="0.00"/>
    <numFmt numFmtId="167" formatCode="[$$-409]#,##0;[RED]-[$$-409]#,##0"/>
    <numFmt numFmtId="168" formatCode="[$$-409]#,##0.00;[RED]-[$$-409]#,##0.00"/>
    <numFmt numFmtId="169" formatCode="0%"/>
    <numFmt numFmtId="170" formatCode="0.00%"/>
    <numFmt numFmtId="171" formatCode="&quot;Y&quot;;&quot;N&quot;"/>
    <numFmt numFmtId="172" formatCode="0.0"/>
  </numFmts>
  <fonts count="33">
    <font>
      <sz val="10"/>
      <name val="Arial"/>
      <family val="0"/>
    </font>
    <font>
      <sz val="10"/>
      <color indexed="8"/>
      <name val="Bookman L"/>
      <family val="0"/>
    </font>
    <font>
      <sz val="18"/>
      <color indexed="8"/>
      <name val="Bookman L"/>
      <family val="0"/>
    </font>
    <font>
      <u val="single"/>
      <sz val="10"/>
      <color indexed="9"/>
      <name val="Bookman L"/>
      <family val="0"/>
    </font>
    <font>
      <sz val="10"/>
      <color indexed="15"/>
      <name val="Bookman L"/>
      <family val="0"/>
    </font>
    <font>
      <sz val="10"/>
      <color indexed="9"/>
      <name val="Bookman L"/>
      <family val="0"/>
    </font>
    <font>
      <sz val="10"/>
      <color indexed="12"/>
      <name val="Bookman L"/>
      <family val="0"/>
    </font>
    <font>
      <sz val="10"/>
      <color indexed="14"/>
      <name val="Bookman L"/>
      <family val="0"/>
    </font>
    <font>
      <sz val="10"/>
      <color indexed="8"/>
      <name val="Albany"/>
      <family val="0"/>
    </font>
    <font>
      <sz val="10"/>
      <color indexed="15"/>
      <name val="Albany"/>
      <family val="0"/>
    </font>
    <font>
      <sz val="10"/>
      <color indexed="10"/>
      <name val="Albany"/>
      <family val="0"/>
    </font>
    <font>
      <sz val="10"/>
      <color indexed="14"/>
      <name val="Albany"/>
      <family val="0"/>
    </font>
    <font>
      <sz val="10"/>
      <color indexed="12"/>
      <name val="Albany"/>
      <family val="0"/>
    </font>
    <font>
      <sz val="14"/>
      <color indexed="8"/>
      <name val="Bookman L"/>
      <family val="0"/>
    </font>
    <font>
      <sz val="10"/>
      <color indexed="10"/>
      <name val="Bookman L"/>
      <family val="0"/>
    </font>
    <font>
      <sz val="18"/>
      <color indexed="9"/>
      <name val="Albany"/>
      <family val="2"/>
    </font>
    <font>
      <sz val="18"/>
      <color indexed="8"/>
      <name val="Albany"/>
      <family val="2"/>
    </font>
    <font>
      <sz val="14"/>
      <color indexed="10"/>
      <name val="Albany"/>
      <family val="2"/>
    </font>
    <font>
      <sz val="10"/>
      <color indexed="9"/>
      <name val="Albany"/>
      <family val="2"/>
    </font>
    <font>
      <sz val="13"/>
      <color indexed="9"/>
      <name val="Albany"/>
      <family val="2"/>
    </font>
    <font>
      <b/>
      <sz val="10"/>
      <color indexed="9"/>
      <name val="Albany"/>
      <family val="2"/>
    </font>
    <font>
      <sz val="14"/>
      <color indexed="9"/>
      <name val="Albany"/>
      <family val="2"/>
    </font>
    <font>
      <sz val="10"/>
      <color indexed="9"/>
      <name val="helvetica"/>
      <family val="2"/>
    </font>
    <font>
      <sz val="12"/>
      <color indexed="9"/>
      <name val="Albany"/>
      <family val="2"/>
    </font>
    <font>
      <sz val="13.95"/>
      <color indexed="9"/>
      <name val="Albany"/>
      <family val="2"/>
    </font>
    <font>
      <sz val="14"/>
      <color indexed="14"/>
      <name val="Albany"/>
      <family val="2"/>
    </font>
    <font>
      <sz val="10"/>
      <color indexed="9"/>
      <name val="Helvetica"/>
      <family val="2"/>
    </font>
    <font>
      <sz val="10"/>
      <color indexed="8"/>
      <name val="Helvetica"/>
      <family val="2"/>
    </font>
    <font>
      <sz val="10"/>
      <color indexed="14"/>
      <name val="Helvetica"/>
      <family val="2"/>
    </font>
    <font>
      <sz val="10"/>
      <color indexed="8"/>
      <name val="Arial;Helvetica;Geneva"/>
      <family val="0"/>
    </font>
    <font>
      <sz val="10"/>
      <color indexed="8"/>
      <name val="helvetica"/>
      <family val="2"/>
    </font>
    <font>
      <u val="single"/>
      <sz val="10"/>
      <color indexed="9"/>
      <name val="Albany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 horizontal="center"/>
    </xf>
    <xf numFmtId="164" fontId="1" fillId="0" borderId="0" xfId="0" applyAlignment="1">
      <alignment horizontal="center"/>
    </xf>
    <xf numFmtId="164" fontId="4" fillId="0" borderId="0" xfId="0" applyAlignment="1">
      <alignment horizontal="center"/>
    </xf>
    <xf numFmtId="164" fontId="5" fillId="0" borderId="0" xfId="0" applyAlignment="1">
      <alignment/>
    </xf>
    <xf numFmtId="164" fontId="5" fillId="0" borderId="0" xfId="0" applyAlignment="1">
      <alignment horizontal="center"/>
    </xf>
    <xf numFmtId="164" fontId="4" fillId="0" borderId="0" xfId="0" applyAlignment="1">
      <alignment/>
    </xf>
    <xf numFmtId="164" fontId="1" fillId="0" borderId="0" xfId="0" applyAlignment="1">
      <alignment horizontal="center"/>
    </xf>
    <xf numFmtId="165" fontId="6" fillId="0" borderId="0" xfId="0" applyAlignment="1">
      <alignment horizontal="center"/>
    </xf>
    <xf numFmtId="164" fontId="7" fillId="0" borderId="0" xfId="0" applyAlignment="1">
      <alignment horizontal="center"/>
    </xf>
    <xf numFmtId="165" fontId="1" fillId="0" borderId="0" xfId="0" applyAlignment="1">
      <alignment horizontal="center"/>
    </xf>
    <xf numFmtId="164" fontId="1" fillId="2" borderId="0" xfId="0" applyAlignment="1">
      <alignment/>
    </xf>
    <xf numFmtId="164" fontId="7" fillId="0" borderId="0" xfId="0" applyAlignment="1">
      <alignment/>
    </xf>
    <xf numFmtId="164" fontId="7" fillId="0" borderId="0" xfId="0" applyAlignment="1">
      <alignment/>
    </xf>
    <xf numFmtId="164" fontId="1" fillId="0" borderId="0" xfId="0" applyAlignment="1">
      <alignment horizontal="center"/>
    </xf>
    <xf numFmtId="164" fontId="1" fillId="0" borderId="0" xfId="0" applyAlignment="1">
      <alignment/>
    </xf>
    <xf numFmtId="166" fontId="1" fillId="0" borderId="0" xfId="0" applyAlignment="1">
      <alignment/>
    </xf>
    <xf numFmtId="166" fontId="7" fillId="0" borderId="0" xfId="0" applyAlignment="1">
      <alignment/>
    </xf>
    <xf numFmtId="164" fontId="1" fillId="3" borderId="0" xfId="0" applyAlignment="1">
      <alignment/>
    </xf>
    <xf numFmtId="164" fontId="8" fillId="0" borderId="0" xfId="0" applyAlignment="1">
      <alignment/>
    </xf>
    <xf numFmtId="164" fontId="9" fillId="0" borderId="0" xfId="0" applyAlignment="1">
      <alignment/>
    </xf>
    <xf numFmtId="164" fontId="4" fillId="0" borderId="0" xfId="0" applyAlignment="1">
      <alignment horizontal="center"/>
    </xf>
    <xf numFmtId="164" fontId="10" fillId="0" borderId="0" xfId="0" applyAlignment="1">
      <alignment/>
    </xf>
    <xf numFmtId="164" fontId="6" fillId="0" borderId="0" xfId="0" applyAlignment="1">
      <alignment horizontal="center"/>
    </xf>
    <xf numFmtId="164" fontId="9" fillId="0" borderId="0" xfId="0" applyAlignment="1">
      <alignment horizontal="right"/>
    </xf>
    <xf numFmtId="164" fontId="10" fillId="0" borderId="0" xfId="0" applyAlignment="1">
      <alignment horizontal="right"/>
    </xf>
    <xf numFmtId="164" fontId="6" fillId="0" borderId="0" xfId="0" applyAlignment="1">
      <alignment horizontal="right"/>
    </xf>
    <xf numFmtId="164" fontId="6" fillId="0" borderId="0" xfId="0" applyAlignment="1">
      <alignment horizontal="center"/>
    </xf>
    <xf numFmtId="164" fontId="11" fillId="0" borderId="0" xfId="0" applyAlignment="1">
      <alignment/>
    </xf>
    <xf numFmtId="164" fontId="10" fillId="0" borderId="0" xfId="0" applyAlignment="1">
      <alignment/>
    </xf>
    <xf numFmtId="164" fontId="8" fillId="0" borderId="0" xfId="0" applyAlignment="1">
      <alignment/>
    </xf>
    <xf numFmtId="164" fontId="11" fillId="0" borderId="0" xfId="0" applyAlignment="1">
      <alignment/>
    </xf>
    <xf numFmtId="167" fontId="11" fillId="0" borderId="0" xfId="0" applyAlignment="1">
      <alignment horizontal="right"/>
    </xf>
    <xf numFmtId="167" fontId="7" fillId="0" borderId="0" xfId="0" applyAlignment="1">
      <alignment horizontal="right"/>
    </xf>
    <xf numFmtId="168" fontId="7" fillId="4" borderId="0" xfId="0" applyAlignment="1">
      <alignment/>
    </xf>
    <xf numFmtId="165" fontId="10" fillId="0" borderId="0" xfId="0" applyAlignment="1">
      <alignment horizontal="right"/>
    </xf>
    <xf numFmtId="167" fontId="10" fillId="0" borderId="0" xfId="0" applyAlignment="1">
      <alignment horizontal="right"/>
    </xf>
    <xf numFmtId="164" fontId="6" fillId="0" borderId="0" xfId="0" applyAlignment="1">
      <alignment/>
    </xf>
    <xf numFmtId="164" fontId="10" fillId="0" borderId="0" xfId="0" applyAlignment="1">
      <alignment horizontal="right"/>
    </xf>
    <xf numFmtId="164" fontId="8" fillId="0" borderId="0" xfId="0" applyAlignment="1">
      <alignment/>
    </xf>
    <xf numFmtId="164" fontId="8" fillId="0" borderId="0" xfId="0" applyAlignment="1">
      <alignment/>
    </xf>
    <xf numFmtId="164" fontId="10" fillId="0" borderId="0" xfId="0" applyAlignment="1">
      <alignment/>
    </xf>
    <xf numFmtId="164" fontId="6" fillId="0" borderId="0" xfId="0" applyAlignment="1">
      <alignment/>
    </xf>
    <xf numFmtId="164" fontId="10" fillId="0" borderId="0" xfId="0" applyAlignment="1">
      <alignment/>
    </xf>
    <xf numFmtId="164" fontId="9" fillId="0" borderId="0" xfId="0" applyAlignment="1">
      <alignment horizontal="right"/>
    </xf>
    <xf numFmtId="164" fontId="10" fillId="0" borderId="0" xfId="0" applyAlignment="1">
      <alignment horizontal="right"/>
    </xf>
    <xf numFmtId="164" fontId="11" fillId="0" borderId="0" xfId="0" applyAlignment="1">
      <alignment horizontal="right"/>
    </xf>
    <xf numFmtId="164" fontId="11" fillId="0" borderId="0" xfId="0" applyAlignment="1">
      <alignment horizontal="right"/>
    </xf>
    <xf numFmtId="168" fontId="7" fillId="4" borderId="0" xfId="0" applyAlignment="1">
      <alignment horizontal="center"/>
    </xf>
    <xf numFmtId="164" fontId="1" fillId="0" borderId="0" xfId="0" applyAlignment="1">
      <alignment horizontal="left"/>
    </xf>
    <xf numFmtId="169" fontId="8" fillId="0" borderId="0" xfId="0" applyAlignment="1">
      <alignment/>
    </xf>
    <xf numFmtId="164" fontId="12" fillId="0" borderId="0" xfId="0" applyAlignment="1">
      <alignment/>
    </xf>
    <xf numFmtId="164" fontId="9" fillId="0" borderId="0" xfId="0" applyAlignment="1">
      <alignment horizontal="right"/>
    </xf>
    <xf numFmtId="164" fontId="8" fillId="0" borderId="0" xfId="0" applyAlignment="1">
      <alignment horizontal="left"/>
    </xf>
    <xf numFmtId="164" fontId="4" fillId="0" borderId="0" xfId="0" applyAlignment="1">
      <alignment horizontal="right"/>
    </xf>
    <xf numFmtId="164" fontId="12" fillId="0" borderId="0" xfId="0" applyAlignment="1">
      <alignment/>
    </xf>
    <xf numFmtId="167" fontId="11" fillId="5" borderId="0" xfId="0" applyAlignment="1">
      <alignment horizontal="right"/>
    </xf>
    <xf numFmtId="167" fontId="7" fillId="4" borderId="0" xfId="0" applyAlignment="1">
      <alignment/>
    </xf>
    <xf numFmtId="164" fontId="4" fillId="0" borderId="0" xfId="0" applyAlignment="1">
      <alignment horizontal="right"/>
    </xf>
    <xf numFmtId="167" fontId="11" fillId="0" borderId="0" xfId="0" applyAlignment="1">
      <alignment/>
    </xf>
    <xf numFmtId="164" fontId="1" fillId="0" borderId="0" xfId="0" applyAlignment="1">
      <alignment horizontal="right"/>
    </xf>
    <xf numFmtId="167" fontId="11" fillId="0" borderId="0" xfId="0" applyAlignment="1">
      <alignment horizontal="right"/>
    </xf>
    <xf numFmtId="167" fontId="1" fillId="0" borderId="0" xfId="0" applyAlignment="1">
      <alignment/>
    </xf>
    <xf numFmtId="167" fontId="11" fillId="5" borderId="0" xfId="0" applyAlignment="1">
      <alignment/>
    </xf>
    <xf numFmtId="167" fontId="7" fillId="5" borderId="0" xfId="0" applyAlignment="1">
      <alignment/>
    </xf>
    <xf numFmtId="170" fontId="1" fillId="4" borderId="0" xfId="0" applyAlignment="1">
      <alignment horizontal="center"/>
    </xf>
    <xf numFmtId="169" fontId="1" fillId="0" borderId="0" xfId="0" applyAlignment="1">
      <alignment horizontal="center"/>
    </xf>
    <xf numFmtId="167" fontId="1" fillId="5" borderId="0" xfId="0" applyAlignment="1">
      <alignment horizontal="center"/>
    </xf>
    <xf numFmtId="167" fontId="1" fillId="4" borderId="0" xfId="0" applyAlignment="1">
      <alignment horizontal="center"/>
    </xf>
    <xf numFmtId="164" fontId="2" fillId="0" borderId="0" xfId="0" applyAlignment="1">
      <alignment/>
    </xf>
    <xf numFmtId="164" fontId="13" fillId="0" borderId="0" xfId="0" applyAlignment="1">
      <alignment/>
    </xf>
    <xf numFmtId="164" fontId="14" fillId="0" borderId="0" xfId="0" applyAlignment="1">
      <alignment/>
    </xf>
    <xf numFmtId="169" fontId="1" fillId="0" borderId="0" xfId="0" applyAlignment="1">
      <alignment/>
    </xf>
    <xf numFmtId="164" fontId="6" fillId="0" borderId="0" xfId="0" applyAlignment="1">
      <alignment/>
    </xf>
    <xf numFmtId="164" fontId="6" fillId="0" borderId="0" xfId="0" applyAlignment="1">
      <alignment/>
    </xf>
    <xf numFmtId="167" fontId="7" fillId="5" borderId="0" xfId="0" applyAlignment="1">
      <alignment horizontal="right"/>
    </xf>
    <xf numFmtId="164" fontId="15" fillId="0" borderId="0" xfId="0" applyAlignment="1">
      <alignment/>
    </xf>
    <xf numFmtId="164" fontId="16" fillId="0" borderId="0" xfId="0" applyAlignment="1">
      <alignment/>
    </xf>
    <xf numFmtId="164" fontId="10" fillId="0" borderId="0" xfId="0" applyAlignment="1">
      <alignment/>
    </xf>
    <xf numFmtId="164" fontId="17" fillId="0" borderId="0" xfId="0" applyAlignment="1">
      <alignment horizontal="left"/>
    </xf>
    <xf numFmtId="164" fontId="17" fillId="0" borderId="0" xfId="0" applyAlignment="1">
      <alignment/>
    </xf>
    <xf numFmtId="164" fontId="18" fillId="0" borderId="0" xfId="0" applyAlignment="1">
      <alignment/>
    </xf>
    <xf numFmtId="164" fontId="18" fillId="0" borderId="0" xfId="0" applyAlignment="1">
      <alignment horizontal="center"/>
    </xf>
    <xf numFmtId="164" fontId="18" fillId="4" borderId="0" xfId="0" applyAlignment="1">
      <alignment/>
    </xf>
    <xf numFmtId="164" fontId="18" fillId="4" borderId="0" xfId="0" applyAlignment="1">
      <alignment horizontal="center"/>
    </xf>
    <xf numFmtId="164" fontId="8" fillId="4" borderId="0" xfId="0" applyAlignment="1">
      <alignment/>
    </xf>
    <xf numFmtId="171" fontId="9" fillId="5" borderId="0" xfId="0" applyAlignment="1">
      <alignment horizontal="center"/>
    </xf>
    <xf numFmtId="164" fontId="8" fillId="6" borderId="0" xfId="0" applyAlignment="1">
      <alignment/>
    </xf>
    <xf numFmtId="164" fontId="11" fillId="6" borderId="0" xfId="0" applyAlignment="1">
      <alignment/>
    </xf>
    <xf numFmtId="164" fontId="8" fillId="6" borderId="0" xfId="0" applyAlignment="1">
      <alignment/>
    </xf>
    <xf numFmtId="164" fontId="8" fillId="0" borderId="0" xfId="0" applyAlignment="1">
      <alignment/>
    </xf>
    <xf numFmtId="164" fontId="8" fillId="2" borderId="0" xfId="0" applyAlignment="1">
      <alignment/>
    </xf>
    <xf numFmtId="171" fontId="9" fillId="5" borderId="0" xfId="0" applyAlignment="1">
      <alignment horizontal="center"/>
    </xf>
    <xf numFmtId="164" fontId="8" fillId="6" borderId="0" xfId="0" applyAlignment="1">
      <alignment/>
    </xf>
    <xf numFmtId="166" fontId="8" fillId="0" borderId="0" xfId="0" applyAlignment="1">
      <alignment/>
    </xf>
    <xf numFmtId="164" fontId="11" fillId="0" borderId="0" xfId="0" applyAlignment="1">
      <alignment/>
    </xf>
    <xf numFmtId="166" fontId="11" fillId="0" borderId="0" xfId="0" applyAlignment="1">
      <alignment/>
    </xf>
    <xf numFmtId="164" fontId="19" fillId="0" borderId="0" xfId="0" applyAlignment="1">
      <alignment/>
    </xf>
    <xf numFmtId="164" fontId="9" fillId="0" borderId="0" xfId="0" applyAlignment="1">
      <alignment/>
    </xf>
    <xf numFmtId="164" fontId="20" fillId="0" borderId="0" xfId="0" applyAlignment="1">
      <alignment/>
    </xf>
    <xf numFmtId="164" fontId="8" fillId="5" borderId="0" xfId="0" applyAlignment="1">
      <alignment horizontal="left"/>
    </xf>
    <xf numFmtId="164" fontId="8" fillId="6" borderId="0" xfId="0" applyAlignment="1">
      <alignment horizontal="right"/>
    </xf>
    <xf numFmtId="164" fontId="8" fillId="6" borderId="0" xfId="0" applyAlignment="1">
      <alignment horizontal="center"/>
    </xf>
    <xf numFmtId="164" fontId="8" fillId="0" borderId="0" xfId="0" applyAlignment="1">
      <alignment horizontal="center"/>
    </xf>
    <xf numFmtId="167" fontId="11" fillId="0" borderId="0" xfId="0" applyAlignment="1">
      <alignment/>
    </xf>
    <xf numFmtId="168" fontId="9" fillId="6" borderId="0" xfId="0" applyAlignment="1">
      <alignment/>
    </xf>
    <xf numFmtId="168" fontId="9" fillId="0" borderId="0" xfId="0" applyAlignment="1">
      <alignment/>
    </xf>
    <xf numFmtId="164" fontId="8" fillId="2" borderId="0" xfId="0" applyAlignment="1">
      <alignment horizontal="left"/>
    </xf>
    <xf numFmtId="164" fontId="18" fillId="2" borderId="0" xfId="0" applyAlignment="1">
      <alignment horizontal="center"/>
    </xf>
    <xf numFmtId="164" fontId="8" fillId="2" borderId="0" xfId="0" applyAlignment="1">
      <alignment horizontal="center"/>
    </xf>
    <xf numFmtId="164" fontId="11" fillId="2" borderId="0" xfId="0" applyAlignment="1">
      <alignment/>
    </xf>
    <xf numFmtId="164" fontId="9" fillId="2" borderId="0" xfId="0" applyAlignment="1">
      <alignment/>
    </xf>
    <xf numFmtId="164" fontId="18" fillId="2" borderId="0" xfId="0" applyAlignment="1">
      <alignment/>
    </xf>
    <xf numFmtId="164" fontId="8" fillId="5" borderId="0" xfId="0" applyAlignment="1">
      <alignment horizontal="left"/>
    </xf>
    <xf numFmtId="164" fontId="8" fillId="0" borderId="0" xfId="0" applyAlignment="1">
      <alignment horizontal="center"/>
    </xf>
    <xf numFmtId="167" fontId="8" fillId="0" borderId="0" xfId="0" applyAlignment="1">
      <alignment/>
    </xf>
    <xf numFmtId="167" fontId="8" fillId="4" borderId="0" xfId="0" applyAlignment="1">
      <alignment/>
    </xf>
    <xf numFmtId="164" fontId="8" fillId="2" borderId="0" xfId="0" applyAlignment="1">
      <alignment horizontal="center"/>
    </xf>
    <xf numFmtId="167" fontId="8" fillId="2" borderId="0" xfId="0" applyAlignment="1">
      <alignment/>
    </xf>
    <xf numFmtId="168" fontId="9" fillId="2" borderId="0" xfId="0" applyAlignment="1">
      <alignment/>
    </xf>
    <xf numFmtId="164" fontId="8" fillId="5" borderId="0" xfId="0" applyAlignment="1">
      <alignment/>
    </xf>
    <xf numFmtId="164" fontId="21" fillId="0" borderId="0" xfId="0" applyAlignment="1">
      <alignment/>
    </xf>
    <xf numFmtId="171" fontId="9" fillId="0" borderId="0" xfId="0" applyAlignment="1">
      <alignment horizontal="center"/>
    </xf>
    <xf numFmtId="164" fontId="18" fillId="0" borderId="0" xfId="0" applyAlignment="1">
      <alignment horizontal="left"/>
    </xf>
    <xf numFmtId="164" fontId="22" fillId="0" borderId="0" xfId="0" applyAlignment="1">
      <alignment/>
    </xf>
    <xf numFmtId="168" fontId="10" fillId="0" borderId="0" xfId="0" applyAlignment="1">
      <alignment/>
    </xf>
    <xf numFmtId="167" fontId="18" fillId="0" borderId="0" xfId="0" applyAlignment="1">
      <alignment/>
    </xf>
    <xf numFmtId="164" fontId="23" fillId="0" borderId="0" xfId="0" applyAlignment="1">
      <alignment/>
    </xf>
    <xf numFmtId="164" fontId="24" fillId="0" borderId="0" xfId="0" applyAlignment="1">
      <alignment/>
    </xf>
    <xf numFmtId="170" fontId="8" fillId="0" borderId="0" xfId="0" applyAlignment="1">
      <alignment/>
    </xf>
    <xf numFmtId="164" fontId="8" fillId="0" borderId="0" xfId="0" applyAlignment="1">
      <alignment horizontal="center"/>
    </xf>
    <xf numFmtId="164" fontId="0" fillId="0" borderId="0" xfId="0" applyAlignment="1">
      <alignment/>
    </xf>
    <xf numFmtId="164" fontId="25" fillId="0" borderId="0" xfId="0" applyAlignment="1">
      <alignment horizontal="center"/>
    </xf>
    <xf numFmtId="164" fontId="26" fillId="0" borderId="0" xfId="0" applyAlignment="1">
      <alignment horizontal="center"/>
    </xf>
    <xf numFmtId="168" fontId="8" fillId="0" borderId="0" xfId="0" applyAlignment="1">
      <alignment/>
    </xf>
    <xf numFmtId="164" fontId="27" fillId="0" borderId="0" xfId="0" applyAlignment="1">
      <alignment/>
    </xf>
    <xf numFmtId="164" fontId="26" fillId="0" borderId="0" xfId="0" applyAlignment="1">
      <alignment/>
    </xf>
    <xf numFmtId="164" fontId="28" fillId="0" borderId="0" xfId="0" applyAlignment="1">
      <alignment/>
    </xf>
    <xf numFmtId="172" fontId="8" fillId="0" borderId="0" xfId="0" applyAlignment="1">
      <alignment/>
    </xf>
    <xf numFmtId="168" fontId="0" fillId="0" borderId="0" xfId="0" applyAlignment="1">
      <alignment/>
    </xf>
    <xf numFmtId="168" fontId="11" fillId="0" borderId="0" xfId="0" applyAlignment="1">
      <alignment/>
    </xf>
    <xf numFmtId="164" fontId="8" fillId="0" borderId="0" xfId="0" applyAlignment="1">
      <alignment/>
    </xf>
    <xf numFmtId="164" fontId="29" fillId="0" borderId="0" xfId="0" applyAlignment="1">
      <alignment wrapText="1"/>
    </xf>
    <xf numFmtId="164" fontId="11" fillId="0" borderId="0" xfId="0" applyAlignment="1">
      <alignment/>
    </xf>
    <xf numFmtId="164" fontId="30" fillId="0" borderId="0" xfId="0" applyAlignment="1">
      <alignment/>
    </xf>
    <xf numFmtId="164" fontId="18" fillId="7" borderId="0" xfId="0" applyAlignment="1">
      <alignment/>
    </xf>
    <xf numFmtId="164" fontId="8" fillId="7" borderId="0" xfId="0" applyAlignment="1">
      <alignment horizontal="left"/>
    </xf>
    <xf numFmtId="164" fontId="8" fillId="7" borderId="0" xfId="0" applyAlignment="1">
      <alignment/>
    </xf>
    <xf numFmtId="167" fontId="8" fillId="7" borderId="0" xfId="0" applyAlignment="1">
      <alignment/>
    </xf>
    <xf numFmtId="168" fontId="8" fillId="7" borderId="0" xfId="0" applyAlignment="1">
      <alignment/>
    </xf>
    <xf numFmtId="164" fontId="30" fillId="7" borderId="0" xfId="0" applyAlignment="1">
      <alignment/>
    </xf>
    <xf numFmtId="168" fontId="10" fillId="7" borderId="0" xfId="0" applyAlignment="1">
      <alignment/>
    </xf>
    <xf numFmtId="168" fontId="8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8000"/>
      <rgbColor rgb="0000FFFF"/>
      <rgbColor rgb="0033CC66"/>
      <rgbColor rgb="00800000"/>
      <rgbColor rgb="00FF0000"/>
      <rgbColor rgb="00FF00FF"/>
      <rgbColor rgb="00FFFF00"/>
      <rgbColor rgb="00FFFF99"/>
      <rgbColor rgb="00FFFFFF"/>
      <rgbColor rgb="00FFFF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ecas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solar.com/" TargetMode="External" /><Relationship Id="rId2" Type="http://schemas.openxmlformats.org/officeDocument/2006/relationships/hyperlink" Target="http://www.cheapestsolar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1"/>
  <sheetViews>
    <sheetView workbookViewId="0" topLeftCell="A74">
      <selection activeCell="B93" sqref="B93"/>
    </sheetView>
  </sheetViews>
  <sheetFormatPr defaultColWidth="11.421875" defaultRowHeight="12.75"/>
  <cols>
    <col min="1" max="1" width="12.00390625" style="0" customWidth="1"/>
    <col min="2" max="2" width="15.00390625" style="0" customWidth="1"/>
    <col min="3" max="4" width="11.28125" style="0" customWidth="1"/>
    <col min="5" max="6" width="12.8515625" style="0" customWidth="1"/>
    <col min="7" max="9" width="11.28125" style="0" customWidth="1"/>
    <col min="10" max="10" width="12.8515625" style="0" customWidth="1"/>
    <col min="11" max="11" width="13.421875" style="0" customWidth="1"/>
    <col min="12" max="12" width="11.28125" style="0" customWidth="1"/>
    <col min="13" max="13" width="14.421875" style="0" customWidth="1"/>
    <col min="14" max="256" width="11.28125" style="0" customWidth="1"/>
  </cols>
  <sheetData>
    <row r="1" spans="1:6" s="1" customFormat="1" ht="15" customHeight="1">
      <c r="A1" s="1" t="s">
        <v>0</v>
      </c>
      <c r="C1" s="2"/>
      <c r="D1" s="3"/>
      <c r="E1" s="3"/>
      <c r="F1" s="3"/>
    </row>
    <row r="2" spans="1:6" s="1" customFormat="1" ht="15" customHeight="1">
      <c r="A2" s="1" t="s">
        <v>1</v>
      </c>
      <c r="C2" s="2"/>
      <c r="D2" s="3"/>
      <c r="E2" s="3"/>
      <c r="F2" s="3"/>
    </row>
    <row r="3" spans="1:6" s="1" customFormat="1" ht="12" customHeight="1">
      <c r="A3" s="1" t="s">
        <v>2</v>
      </c>
      <c r="C3" s="2"/>
      <c r="D3" s="3"/>
      <c r="E3" s="3"/>
      <c r="F3" s="3"/>
    </row>
    <row r="4" spans="1:6" s="1" customFormat="1" ht="12" customHeight="1">
      <c r="A4" s="1" t="s">
        <v>3</v>
      </c>
      <c r="C4" s="2"/>
      <c r="D4" s="3"/>
      <c r="E4" s="3"/>
      <c r="F4" s="3"/>
    </row>
    <row r="5" spans="3:6" s="1" customFormat="1" ht="14.25" customHeight="1">
      <c r="C5" s="2"/>
      <c r="D5" s="3"/>
      <c r="E5" s="3"/>
      <c r="F5" s="3"/>
    </row>
    <row r="6" spans="3:6" s="1" customFormat="1" ht="22.5">
      <c r="C6" s="2" t="s">
        <v>4</v>
      </c>
      <c r="E6" s="3"/>
      <c r="F6" s="3"/>
    </row>
    <row r="7" s="1" customFormat="1" ht="12.75">
      <c r="F7" s="4"/>
    </row>
    <row r="8" spans="1:6" s="1" customFormat="1" ht="12.75">
      <c r="A8" s="5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5" t="s">
        <v>10</v>
      </c>
    </row>
    <row r="9" spans="1:6" s="1" customFormat="1" ht="12.75">
      <c r="A9" s="5" t="s">
        <v>11</v>
      </c>
      <c r="F9" s="7" t="s">
        <v>12</v>
      </c>
    </row>
    <row r="10" spans="1:6" s="1" customFormat="1" ht="12.75">
      <c r="A10" s="1"/>
      <c r="B10" s="1" t="s">
        <v>13</v>
      </c>
      <c r="C10" s="1"/>
      <c r="D10" s="8">
        <f>VLOOKUP($B10,Profiles!$B$8:$M$65,3,0)</f>
        <v>0</v>
      </c>
      <c r="E10" s="8">
        <f>#N/A</f>
        <v>0</v>
      </c>
      <c r="F10" s="9">
        <f>HLOOKUP($F$9,Profiles!$A$4:$Q$70,5,0)</f>
        <v>0</v>
      </c>
    </row>
    <row r="11" spans="1:6" s="1" customFormat="1" ht="12.75">
      <c r="A11" s="1"/>
      <c r="B11" s="1" t="s">
        <v>14</v>
      </c>
      <c r="C11" s="10" t="s">
        <v>15</v>
      </c>
      <c r="D11" s="8">
        <f>VLOOKUP($B11,Profiles!$B$8:$M$65,3,0)</f>
        <v>0</v>
      </c>
      <c r="E11" s="8">
        <f>#N/A</f>
        <v>0</v>
      </c>
      <c r="F11" s="9">
        <f>HLOOKUP($F$9,Profiles!$A$4:$Q$70,6,0)</f>
        <v>0</v>
      </c>
    </row>
    <row r="12" spans="1:6" s="1" customFormat="1" ht="12.75">
      <c r="A12" s="1"/>
      <c r="B12" s="1" t="s">
        <v>16</v>
      </c>
      <c r="C12" s="1"/>
      <c r="D12" s="8">
        <f>VLOOKUP($B12,Profiles!$B$8:$M$65,3,0)</f>
        <v>0</v>
      </c>
      <c r="E12" s="8">
        <f>#N/A</f>
        <v>0</v>
      </c>
      <c r="F12" s="9">
        <f>HLOOKUP($F$9,Profiles!$A$4:$Q$70,7,0)</f>
        <v>0</v>
      </c>
    </row>
    <row r="13" spans="1:6" s="1" customFormat="1" ht="12.75">
      <c r="A13" s="1"/>
      <c r="B13" s="1" t="s">
        <v>17</v>
      </c>
      <c r="C13" s="1"/>
      <c r="D13" s="8">
        <f>VLOOKUP($B13,Profiles!$B$8:$M$65,3,0)</f>
        <v>0</v>
      </c>
      <c r="E13" s="8">
        <f>#N/A</f>
        <v>0</v>
      </c>
      <c r="F13" s="9">
        <f>HLOOKUP($F$9,Profiles!$A$4:$Q$70,8,0)</f>
        <v>0</v>
      </c>
    </row>
    <row r="14" spans="1:6" s="1" customFormat="1" ht="12.75">
      <c r="A14" s="1"/>
      <c r="B14" s="1" t="s">
        <v>18</v>
      </c>
      <c r="C14" s="1"/>
      <c r="D14" s="8">
        <f>VLOOKUP($B14,Profiles!$B$8:$M$65,3,0)</f>
        <v>0</v>
      </c>
      <c r="E14" s="8">
        <f>#N/A</f>
        <v>0</v>
      </c>
      <c r="F14" s="9">
        <f>HLOOKUP($F$9,Profiles!$A$4:$Q$70,9,0)</f>
        <v>0</v>
      </c>
    </row>
    <row r="15" spans="1:6" s="1" customFormat="1" ht="12.75">
      <c r="A15" s="1"/>
      <c r="B15" s="1" t="s">
        <v>19</v>
      </c>
      <c r="C15" s="1"/>
      <c r="D15" s="8">
        <f>VLOOKUP($B15,Profiles!$B$8:$M$65,3,0)</f>
        <v>0</v>
      </c>
      <c r="E15" s="8">
        <f>#N/A</f>
        <v>0</v>
      </c>
      <c r="F15" s="9">
        <f>HLOOKUP($F$9,Profiles!$A$4:$Q$70,10,0)</f>
        <v>0</v>
      </c>
    </row>
    <row r="16" spans="1:6" s="1" customFormat="1" ht="12.75">
      <c r="A16" s="1"/>
      <c r="B16" s="1" t="s">
        <v>20</v>
      </c>
      <c r="C16" s="1"/>
      <c r="D16" s="8">
        <f>VLOOKUP($B16,Profiles!$B$8:$M$65,3,0)</f>
        <v>0</v>
      </c>
      <c r="E16" s="8">
        <f>#N/A</f>
        <v>0</v>
      </c>
      <c r="F16" s="9">
        <f>HLOOKUP($F$9,Profiles!$A$4:$Q$70,11,0)</f>
        <v>0</v>
      </c>
    </row>
    <row r="17" spans="1:6" s="1" customFormat="1" ht="12.75">
      <c r="A17" s="1"/>
      <c r="B17" s="1" t="s">
        <v>21</v>
      </c>
      <c r="C17" s="1"/>
      <c r="D17" s="8">
        <f>VLOOKUP($B17,Profiles!$B$8:$M$65,3,0)</f>
        <v>0</v>
      </c>
      <c r="E17" s="8">
        <f>#N/A</f>
        <v>0</v>
      </c>
      <c r="F17" s="9">
        <f>HLOOKUP($F$9,Profiles!$A$4:$Q$70,12,0)</f>
        <v>0</v>
      </c>
    </row>
    <row r="18" spans="1:6" s="1" customFormat="1" ht="12.75">
      <c r="A18" s="1"/>
      <c r="B18" s="1" t="s">
        <v>22</v>
      </c>
      <c r="C18" s="1"/>
      <c r="D18" s="8">
        <f>VLOOKUP($B18,Profiles!$B$8:$M$65,3,0)</f>
        <v>0</v>
      </c>
      <c r="E18" s="8">
        <f>#N/A</f>
        <v>0</v>
      </c>
      <c r="F18" s="9">
        <f>HLOOKUP($F$9,Profiles!$A$4:$Q$70,13,0)</f>
        <v>0</v>
      </c>
    </row>
    <row r="19" spans="1:6" s="1" customFormat="1" ht="12.75">
      <c r="A19" s="1"/>
      <c r="B19" s="1" t="s">
        <v>23</v>
      </c>
      <c r="C19" s="1"/>
      <c r="D19" s="8">
        <f>VLOOKUP($B19,Profiles!$B$8:$M$65,3,0)</f>
        <v>0</v>
      </c>
      <c r="E19" s="8">
        <f>#N/A</f>
        <v>0</v>
      </c>
      <c r="F19" s="9">
        <f>HLOOKUP($F$9,Profiles!$A$4:$Q$70,14,0)</f>
        <v>0</v>
      </c>
    </row>
    <row r="20" spans="1:6" s="1" customFormat="1" ht="12.75">
      <c r="A20" s="1"/>
      <c r="B20" s="1" t="s">
        <v>24</v>
      </c>
      <c r="C20" s="1"/>
      <c r="D20" s="11">
        <f>VLOOKUP($B20,Profiles!$B$8:$M$65,3,0)</f>
        <v>0</v>
      </c>
      <c r="E20" s="8">
        <f>#N/A</f>
        <v>0</v>
      </c>
      <c r="F20" s="9">
        <f>HLOOKUP($F$9,Profiles!$A$4:$Q$70,15,0)</f>
        <v>0</v>
      </c>
    </row>
    <row r="21" spans="1:6" s="1" customFormat="1" ht="12.75">
      <c r="A21" s="1"/>
      <c r="B21" s="1" t="s">
        <v>25</v>
      </c>
      <c r="C21" s="1"/>
      <c r="D21" s="11">
        <f>VLOOKUP($B21,Profiles!$B$8:$M$65,3,0)</f>
        <v>0</v>
      </c>
      <c r="E21" s="8">
        <f>#N/A</f>
        <v>0</v>
      </c>
      <c r="F21" s="9">
        <f>HLOOKUP($F$9,Profiles!$A$4:$Q$70,16,0)</f>
        <v>0</v>
      </c>
    </row>
    <row r="22" spans="1:6" s="1" customFormat="1" ht="12.75">
      <c r="A22" s="1"/>
      <c r="B22" s="1" t="s">
        <v>26</v>
      </c>
      <c r="C22" s="1"/>
      <c r="D22" s="8">
        <f>VLOOKUP($B22,Profiles!$B$8:$M$65,3,0)</f>
        <v>0</v>
      </c>
      <c r="E22" s="8">
        <f>#N/A</f>
        <v>0</v>
      </c>
      <c r="F22" s="9">
        <f>HLOOKUP($F$9,Profiles!$A$4:$Q$70,17,0)</f>
        <v>0</v>
      </c>
    </row>
    <row r="23" spans="1:6" s="1" customFormat="1" ht="12.75">
      <c r="A23" s="1"/>
      <c r="B23" s="1" t="s">
        <v>27</v>
      </c>
      <c r="C23" s="1"/>
      <c r="D23" s="11">
        <f>VLOOKUP($B23,Profiles!$B$8:$M$65,3,0)</f>
        <v>0</v>
      </c>
      <c r="E23" s="8">
        <f>#N/A</f>
        <v>0</v>
      </c>
      <c r="F23" s="9">
        <f>HLOOKUP($F$9,Profiles!$A$4:$Q$70,18,0)</f>
        <v>0</v>
      </c>
    </row>
    <row r="24" spans="1:6" s="1" customFormat="1" ht="12.75">
      <c r="A24" s="1"/>
      <c r="B24" s="1" t="s">
        <v>28</v>
      </c>
      <c r="C24" s="1"/>
      <c r="D24" s="8">
        <f>VLOOKUP($B24,Profiles!$B$8:$M$65,3,0)</f>
        <v>0</v>
      </c>
      <c r="E24" s="8">
        <f>#N/A</f>
        <v>0</v>
      </c>
      <c r="F24" s="9">
        <f>HLOOKUP($F$9,Profiles!$A$4:$Q$70,19,0)</f>
        <v>0</v>
      </c>
    </row>
    <row r="25" spans="1:6" s="1" customFormat="1" ht="12.75">
      <c r="A25" s="1"/>
      <c r="B25" s="1" t="s">
        <v>29</v>
      </c>
      <c r="C25" s="1"/>
      <c r="D25" s="11">
        <f>VLOOKUP($B25,Profiles!$B$8:$M$65,3,0)</f>
        <v>0</v>
      </c>
      <c r="E25" s="8">
        <f>#N/A</f>
        <v>0</v>
      </c>
      <c r="F25" s="9">
        <f>HLOOKUP($F$9,Profiles!$A$4:$Q$70,20,0)</f>
        <v>0</v>
      </c>
    </row>
    <row r="26" spans="1:6" s="1" customFormat="1" ht="12.75">
      <c r="A26" s="1"/>
      <c r="B26" s="1" t="s">
        <v>30</v>
      </c>
      <c r="C26" s="1"/>
      <c r="D26" s="11">
        <f>VLOOKUP($B26,Profiles!$B$8:$M$65,3,0)</f>
        <v>0</v>
      </c>
      <c r="E26" s="8">
        <f>#N/A</f>
        <v>0</v>
      </c>
      <c r="F26" s="9">
        <f>HLOOKUP($F$9,Profiles!$A$4:$Q$70,21,0)</f>
        <v>0</v>
      </c>
    </row>
    <row r="27" spans="1:6" s="1" customFormat="1" ht="12.75">
      <c r="A27" s="1"/>
      <c r="B27" s="1" t="s">
        <v>31</v>
      </c>
      <c r="C27" s="1"/>
      <c r="D27" s="8">
        <f>VLOOKUP($B27,Profiles!$B$8:$M$65,3,0)</f>
        <v>0</v>
      </c>
      <c r="E27" s="8">
        <f>#N/A</f>
        <v>0</v>
      </c>
      <c r="F27" s="9">
        <f>HLOOKUP($F$9,Profiles!$A$4:$Q$70,22,0)</f>
        <v>0</v>
      </c>
    </row>
    <row r="28" spans="1:6" s="1" customFormat="1" ht="12.75">
      <c r="A28" s="1"/>
      <c r="B28" s="1" t="s">
        <v>32</v>
      </c>
      <c r="C28" s="1"/>
      <c r="D28" s="8">
        <f>VLOOKUP($B28,Profiles!$B$8:$M$65,3,0)</f>
        <v>0</v>
      </c>
      <c r="E28" s="8">
        <f>#N/A</f>
        <v>0</v>
      </c>
      <c r="F28" s="9">
        <f>HLOOKUP($F$9,Profiles!$A$4:$Q$70,24,0)</f>
        <v>0</v>
      </c>
    </row>
    <row r="29" spans="1:6" s="1" customFormat="1" ht="12.75">
      <c r="A29" s="1"/>
      <c r="B29" s="1" t="s">
        <v>33</v>
      </c>
      <c r="C29" s="1"/>
      <c r="D29" s="8">
        <f>VLOOKUP($B29,Profiles!$B$8:$M$65,3,0)</f>
        <v>0</v>
      </c>
      <c r="E29" s="8">
        <f>#N/A</f>
        <v>0</v>
      </c>
      <c r="F29" s="9">
        <f>HLOOKUP($F$9,Profiles!$A$4:$Q$70,25,0)</f>
        <v>0</v>
      </c>
    </row>
    <row r="30" spans="1:6" s="1" customFormat="1" ht="12.75">
      <c r="A30" s="5" t="s">
        <v>34</v>
      </c>
      <c r="B30" s="12"/>
      <c r="C30" s="12"/>
      <c r="D30" s="12"/>
      <c r="E30" s="12"/>
      <c r="F30" s="12"/>
    </row>
    <row r="31" spans="1:6" s="1" customFormat="1" ht="12.75">
      <c r="A31" s="1"/>
      <c r="B31" s="1" t="s">
        <v>35</v>
      </c>
      <c r="C31" s="1"/>
      <c r="D31" s="8">
        <f>VLOOKUP($B31,Profiles!$B$8:$M$65,3,0)</f>
        <v>0</v>
      </c>
      <c r="E31" s="8">
        <f>#N/A</f>
        <v>0</v>
      </c>
      <c r="F31" s="9">
        <f>HLOOKUP($F$9,Profiles!$A$4:$Q$70,27,0)</f>
        <v>0</v>
      </c>
    </row>
    <row r="32" spans="1:6" s="1" customFormat="1" ht="12.75">
      <c r="A32" s="1"/>
      <c r="B32" s="1" t="s">
        <v>36</v>
      </c>
      <c r="C32" s="13" t="s">
        <v>37</v>
      </c>
      <c r="D32" s="8">
        <f>VLOOKUP($B32,Profiles!$B$8:$M$65,3,0)</f>
        <v>0</v>
      </c>
      <c r="E32" s="8">
        <f>#N/A</f>
        <v>0</v>
      </c>
      <c r="F32" s="9">
        <f>HLOOKUP($F$9,Profiles!$A$4:$Q$70,28,0)</f>
        <v>0</v>
      </c>
    </row>
    <row r="33" spans="1:6" s="1" customFormat="1" ht="12.75">
      <c r="A33" s="1"/>
      <c r="B33" s="1" t="s">
        <v>38</v>
      </c>
      <c r="C33" s="1"/>
      <c r="D33" s="8">
        <f>VLOOKUP($B33,Profiles!$B$8:$M$65,3,0)</f>
        <v>0</v>
      </c>
      <c r="E33" s="8">
        <f>#N/A</f>
        <v>0</v>
      </c>
      <c r="F33" s="9">
        <f>HLOOKUP($F$9,Profiles!$A$4:$Q$70,29,0)</f>
        <v>0</v>
      </c>
    </row>
    <row r="34" spans="1:6" s="1" customFormat="1" ht="12.75">
      <c r="A34" s="1"/>
      <c r="B34" s="1" t="s">
        <v>39</v>
      </c>
      <c r="C34" s="14" t="s">
        <v>40</v>
      </c>
      <c r="D34" s="8">
        <f>VLOOKUP($B34,Profiles!$B$8:$M$65,3,0)</f>
        <v>0</v>
      </c>
      <c r="E34" s="8">
        <f>#N/A</f>
        <v>0</v>
      </c>
      <c r="F34" s="9">
        <f>HLOOKUP($F$9,Profiles!$A$4:$Q$70,30,0)</f>
        <v>0</v>
      </c>
    </row>
    <row r="35" spans="1:6" s="1" customFormat="1" ht="12.75">
      <c r="A35" s="5" t="s">
        <v>41</v>
      </c>
      <c r="B35" s="12"/>
      <c r="C35" s="12"/>
      <c r="D35" s="12"/>
      <c r="E35" s="12"/>
      <c r="F35" s="12"/>
    </row>
    <row r="36" spans="1:6" s="1" customFormat="1" ht="12.75">
      <c r="A36" s="1"/>
      <c r="B36" s="1" t="s">
        <v>42</v>
      </c>
      <c r="C36" s="1"/>
      <c r="D36" s="11">
        <f>VLOOKUP($B36,Profiles!$B$8:$M$65,3,0)</f>
        <v>0</v>
      </c>
      <c r="E36" s="8">
        <f>#N/A</f>
        <v>0</v>
      </c>
      <c r="F36" s="9">
        <f>HLOOKUP($F$9,Profiles!$A$4:$Q$70,32,0)</f>
        <v>0</v>
      </c>
    </row>
    <row r="37" spans="1:6" s="1" customFormat="1" ht="12.75">
      <c r="A37" s="1"/>
      <c r="B37" s="1" t="s">
        <v>43</v>
      </c>
      <c r="C37" s="13" t="s">
        <v>44</v>
      </c>
      <c r="D37" s="8">
        <f>VLOOKUP($B37,Profiles!$B$8:$M$65,3,0)</f>
        <v>0</v>
      </c>
      <c r="E37" s="8">
        <f>#N/A</f>
        <v>0</v>
      </c>
      <c r="F37" s="9">
        <f>HLOOKUP($F$9,Profiles!$A$4:$Q$70,33,0)</f>
        <v>0</v>
      </c>
    </row>
    <row r="38" spans="1:6" s="1" customFormat="1" ht="12.75">
      <c r="A38" s="1"/>
      <c r="B38" s="1" t="s">
        <v>45</v>
      </c>
      <c r="C38" s="1"/>
      <c r="D38" s="8">
        <f>VLOOKUP($B38,Profiles!$B$8:$M$65,3,0)</f>
        <v>0</v>
      </c>
      <c r="E38" s="8">
        <f>#N/A</f>
        <v>0</v>
      </c>
      <c r="F38" s="9">
        <f>HLOOKUP($F$9,Profiles!$A$4:$Q$70,34,0)</f>
        <v>0</v>
      </c>
    </row>
    <row r="39" spans="1:6" s="1" customFormat="1" ht="12.75">
      <c r="A39" s="1"/>
      <c r="B39" s="1" t="s">
        <v>46</v>
      </c>
      <c r="C39" s="1"/>
      <c r="D39" s="11">
        <f>VLOOKUP($B39,Profiles!$B$8:$M$65,3,0)</f>
        <v>0</v>
      </c>
      <c r="E39" s="8">
        <f>#N/A</f>
        <v>0</v>
      </c>
      <c r="F39" s="9">
        <f>HLOOKUP($F$9,Profiles!$A$4:$Q$70,35,0)</f>
        <v>0</v>
      </c>
    </row>
    <row r="40" spans="1:6" s="1" customFormat="1" ht="12.75">
      <c r="A40" s="1"/>
      <c r="B40" s="1" t="s">
        <v>47</v>
      </c>
      <c r="C40" s="1"/>
      <c r="D40" s="11">
        <f>VLOOKUP($B40,Profiles!$B$8:$M$65,3,0)</f>
        <v>0</v>
      </c>
      <c r="E40" s="8">
        <f>#N/A</f>
        <v>0</v>
      </c>
      <c r="F40" s="9">
        <f>HLOOKUP($F$9,Profiles!$A$4:$Q$70,36,0)</f>
        <v>0</v>
      </c>
    </row>
    <row r="41" spans="1:6" s="1" customFormat="1" ht="12.75">
      <c r="A41" s="1"/>
      <c r="B41" s="1" t="s">
        <v>48</v>
      </c>
      <c r="C41" s="1"/>
      <c r="D41" s="11">
        <f>VLOOKUP($B41,Profiles!$B$8:$M$65,3,0)</f>
        <v>0</v>
      </c>
      <c r="E41" s="8">
        <f>#N/A</f>
        <v>0</v>
      </c>
      <c r="F41" s="9">
        <f>HLOOKUP($F$9,Profiles!$A$4:$Q$70,37,0)</f>
        <v>0</v>
      </c>
    </row>
    <row r="42" spans="1:6" s="1" customFormat="1" ht="12.75">
      <c r="A42" s="1"/>
      <c r="B42" s="1" t="s">
        <v>49</v>
      </c>
      <c r="C42" s="1"/>
      <c r="D42" s="11">
        <f>VLOOKUP($B42,Profiles!$B$8:$M$65,3,0)</f>
        <v>0</v>
      </c>
      <c r="E42" s="8">
        <f>#N/A</f>
        <v>0</v>
      </c>
      <c r="F42" s="9">
        <f>HLOOKUP($F$9,Profiles!$A$4:$Q$70,38,0)</f>
        <v>0</v>
      </c>
    </row>
    <row r="43" spans="1:6" s="1" customFormat="1" ht="12.75">
      <c r="A43" s="1"/>
      <c r="B43" s="1" t="s">
        <v>50</v>
      </c>
      <c r="C43" s="1"/>
      <c r="D43" s="11">
        <f>VLOOKUP($B43,Profiles!$B$8:$M$65,3,0)</f>
        <v>0</v>
      </c>
      <c r="E43" s="8">
        <f>#N/A</f>
        <v>0</v>
      </c>
      <c r="F43" s="9">
        <f>HLOOKUP($F$9,Profiles!$A$4:$Q$70,39,0)</f>
        <v>0</v>
      </c>
    </row>
    <row r="44" spans="1:6" s="1" customFormat="1" ht="12.75">
      <c r="A44" s="1"/>
      <c r="B44" s="1" t="s">
        <v>51</v>
      </c>
      <c r="C44" s="1"/>
      <c r="D44" s="8">
        <f>VLOOKUP($B44,Profiles!$B$8:$M$65,3,0)</f>
        <v>0</v>
      </c>
      <c r="E44" s="8">
        <f>#N/A</f>
        <v>0</v>
      </c>
      <c r="F44" s="9">
        <f>HLOOKUP($F$9,Profiles!$A$4:$Q$70,40,0)</f>
        <v>0</v>
      </c>
    </row>
    <row r="45" spans="1:6" s="1" customFormat="1" ht="12.75">
      <c r="A45" s="5" t="s">
        <v>52</v>
      </c>
      <c r="B45" s="12"/>
      <c r="C45" s="12"/>
      <c r="D45" s="12"/>
      <c r="E45" s="12"/>
      <c r="F45" s="12"/>
    </row>
    <row r="46" spans="1:6" s="1" customFormat="1" ht="12.75">
      <c r="A46" s="1"/>
      <c r="B46" s="1" t="s">
        <v>53</v>
      </c>
      <c r="C46" s="1"/>
      <c r="D46" s="8">
        <f>VLOOKUP($B46,Profiles!$B$8:$M$65,3,0)</f>
        <v>0</v>
      </c>
      <c r="E46" s="8">
        <f>#N/A</f>
        <v>0</v>
      </c>
      <c r="F46" s="9">
        <f>HLOOKUP($F$9,Profiles!$A$4:$Q$70,42,0)</f>
        <v>0</v>
      </c>
    </row>
    <row r="47" spans="1:6" s="1" customFormat="1" ht="12.75">
      <c r="A47" s="1"/>
      <c r="B47" s="1" t="s">
        <v>54</v>
      </c>
      <c r="C47" s="1"/>
      <c r="D47" s="8">
        <f>VLOOKUP($B47,Profiles!$B$8:$M$65,3,0)</f>
        <v>0</v>
      </c>
      <c r="E47" s="8">
        <f>#N/A</f>
        <v>0</v>
      </c>
      <c r="F47" s="9">
        <f>HLOOKUP($F$9,Profiles!$A$4:$Q$70,43,0)</f>
        <v>0</v>
      </c>
    </row>
    <row r="48" spans="1:6" s="1" customFormat="1" ht="12.75">
      <c r="A48" s="1"/>
      <c r="B48" s="1" t="s">
        <v>55</v>
      </c>
      <c r="C48" s="1"/>
      <c r="D48" s="15">
        <v>70</v>
      </c>
      <c r="E48" s="8">
        <f>#N/A</f>
        <v>0</v>
      </c>
      <c r="F48" s="9">
        <f>HLOOKUP($F$9,Profiles!$A$4:$Q$70,44,0)</f>
        <v>0</v>
      </c>
    </row>
    <row r="49" spans="1:6" s="1" customFormat="1" ht="12.75">
      <c r="A49" s="1"/>
      <c r="B49" s="1" t="s">
        <v>56</v>
      </c>
      <c r="C49" s="1"/>
      <c r="D49" s="15">
        <v>40</v>
      </c>
      <c r="E49" s="8">
        <f>#N/A</f>
        <v>0</v>
      </c>
      <c r="F49" s="9">
        <f>HLOOKUP($F$9,Profiles!$A$4:$Q$70,45,0)</f>
        <v>0</v>
      </c>
    </row>
    <row r="50" spans="1:6" s="1" customFormat="1" ht="12.75">
      <c r="A50" s="1"/>
      <c r="B50" s="1" t="s">
        <v>57</v>
      </c>
      <c r="C50" s="1"/>
      <c r="D50" s="8">
        <f>VLOOKUP($B50,Profiles!$B$8:$M$65,3,0)</f>
        <v>0</v>
      </c>
      <c r="E50" s="8">
        <f>#N/A</f>
        <v>0</v>
      </c>
      <c r="F50" s="9">
        <f>HLOOKUP($F$9,Profiles!$A$4:$Q$70,46,0)</f>
        <v>0</v>
      </c>
    </row>
    <row r="51" spans="1:6" s="1" customFormat="1" ht="12.75">
      <c r="A51" s="1"/>
      <c r="B51" s="1" t="s">
        <v>58</v>
      </c>
      <c r="C51" s="1"/>
      <c r="D51" s="8">
        <f>VLOOKUP($B51,Profiles!$B$8:$M$65,3,0)</f>
        <v>0</v>
      </c>
      <c r="E51" s="8">
        <f>#N/A</f>
        <v>0</v>
      </c>
      <c r="F51" s="9">
        <f>HLOOKUP($F$9,Profiles!$A$4:$Q$70,47,0)</f>
        <v>0</v>
      </c>
    </row>
    <row r="52" spans="1:6" s="1" customFormat="1" ht="12.75">
      <c r="A52" s="1"/>
      <c r="B52" s="1" t="s">
        <v>59</v>
      </c>
      <c r="C52" s="1"/>
      <c r="D52" s="8">
        <f>VLOOKUP($B52,Profiles!$B$8:$M$65,3,0)</f>
        <v>0</v>
      </c>
      <c r="E52" s="8">
        <f>#N/A</f>
        <v>0</v>
      </c>
      <c r="F52" s="9">
        <f>HLOOKUP($F$9,Profiles!$A$4:$Q$70,48,0)</f>
        <v>0</v>
      </c>
    </row>
    <row r="53" spans="1:6" s="1" customFormat="1" ht="12.75">
      <c r="A53" s="1"/>
      <c r="B53" s="1" t="s">
        <v>60</v>
      </c>
      <c r="C53" s="1"/>
      <c r="D53" s="8">
        <f>VLOOKUP($B53,Profiles!$B$8:$M$65,3,0)</f>
        <v>0</v>
      </c>
      <c r="E53" s="8">
        <f>#N/A</f>
        <v>0</v>
      </c>
      <c r="F53" s="9">
        <f>HLOOKUP($F$9,Profiles!$A$4:$Q$70,49,0)</f>
        <v>0</v>
      </c>
    </row>
    <row r="54" spans="1:6" s="1" customFormat="1" ht="12.75">
      <c r="A54" s="1"/>
      <c r="B54" s="1" t="s">
        <v>61</v>
      </c>
      <c r="C54" s="1"/>
      <c r="D54" s="8">
        <f>VLOOKUP($B54,Profiles!$B$8:$M$65,3,0)</f>
        <v>0</v>
      </c>
      <c r="E54" s="8">
        <f>#N/A</f>
        <v>0</v>
      </c>
      <c r="F54" s="9">
        <f>HLOOKUP($F$9,Profiles!$A$4:$Q$70,50,0)</f>
        <v>0</v>
      </c>
    </row>
    <row r="55" spans="1:6" s="1" customFormat="1" ht="12.75">
      <c r="A55" s="1"/>
      <c r="B55" s="1" t="s">
        <v>62</v>
      </c>
      <c r="C55" s="1"/>
      <c r="D55" s="8">
        <f>VLOOKUP($B55,Profiles!$B$8:$M$65,3,0)</f>
        <v>0</v>
      </c>
      <c r="E55" s="8">
        <f>#N/A</f>
        <v>0</v>
      </c>
      <c r="F55" s="9">
        <f>HLOOKUP($F$9,Profiles!$A$4:$Q$70,51,0)</f>
        <v>0</v>
      </c>
    </row>
    <row r="56" spans="1:6" s="1" customFormat="1" ht="12.75">
      <c r="A56" s="1"/>
      <c r="B56" s="1" t="s">
        <v>63</v>
      </c>
      <c r="C56" s="16">
        <v>15</v>
      </c>
      <c r="D56" s="8">
        <f>VLOOKUP($B56,Profiles!$B$8:$M$65,3,0)</f>
        <v>0</v>
      </c>
      <c r="E56" s="8">
        <f>#N/A</f>
        <v>0</v>
      </c>
      <c r="F56" s="9">
        <f>HLOOKUP($F$9,Profiles!$A$4:$Q$70,52,0)</f>
        <v>0</v>
      </c>
    </row>
    <row r="57" spans="1:6" s="1" customFormat="1" ht="12.75">
      <c r="A57" s="1"/>
      <c r="B57" s="1" t="s">
        <v>64</v>
      </c>
      <c r="C57" s="16">
        <v>3</v>
      </c>
      <c r="D57" s="1">
        <v>15</v>
      </c>
      <c r="E57" s="8">
        <f>#N/A</f>
        <v>0</v>
      </c>
      <c r="F57" s="9">
        <f>HLOOKUP($F$9,Profiles!$A$4:$Q$70,53,0)</f>
        <v>0</v>
      </c>
    </row>
    <row r="58" spans="1:6" s="1" customFormat="1" ht="12.75">
      <c r="A58" s="1"/>
      <c r="B58" s="1" t="s">
        <v>65</v>
      </c>
      <c r="C58" s="7"/>
      <c r="D58" s="8">
        <f>VLOOKUP($B58,Profiles!$B$8:$M$65,3,0)</f>
        <v>0</v>
      </c>
      <c r="E58" s="8">
        <f>#N/A</f>
        <v>0</v>
      </c>
      <c r="F58" s="9">
        <f>HLOOKUP($F$9,Profiles!$A$4:$Q$70,54,0)</f>
        <v>0</v>
      </c>
    </row>
    <row r="59" spans="1:6" s="1" customFormat="1" ht="12.75">
      <c r="A59" s="5" t="s">
        <v>66</v>
      </c>
      <c r="B59" s="12"/>
      <c r="C59" s="12"/>
      <c r="D59" s="12"/>
      <c r="E59" s="12"/>
      <c r="F59" s="12"/>
    </row>
    <row r="60" spans="1:6" s="1" customFormat="1" ht="12.75">
      <c r="A60" s="1"/>
      <c r="B60" s="1" t="s">
        <v>67</v>
      </c>
      <c r="C60" s="1"/>
      <c r="D60" s="8">
        <f>VLOOKUP($B60,Profiles!$B$8:$M$65,3,0)</f>
        <v>0</v>
      </c>
      <c r="E60" s="8">
        <f>#N/A</f>
        <v>0</v>
      </c>
      <c r="F60" s="9">
        <f>HLOOKUP($F$9,Profiles!$A$4:$Q$70,56,0)</f>
        <v>0</v>
      </c>
    </row>
    <row r="61" spans="1:6" s="1" customFormat="1" ht="12.75">
      <c r="A61" s="1"/>
      <c r="B61" s="1" t="s">
        <v>68</v>
      </c>
      <c r="C61" s="1"/>
      <c r="D61" s="8">
        <f>VLOOKUP($B61,Profiles!$B$8:$M$65,3,0)</f>
        <v>0</v>
      </c>
      <c r="E61" s="8">
        <f>#N/A</f>
        <v>0</v>
      </c>
      <c r="F61" s="9">
        <f>HLOOKUP($F$9,Profiles!$A$4:$Q$70,57,0)</f>
        <v>0</v>
      </c>
    </row>
    <row r="62" spans="1:6" s="1" customFormat="1" ht="12.75">
      <c r="A62" s="1"/>
      <c r="B62" s="1" t="s">
        <v>69</v>
      </c>
      <c r="C62" s="1"/>
      <c r="D62" s="8">
        <f>VLOOKUP($B62,Profiles!$B$8:$M$65,3,0)</f>
        <v>0</v>
      </c>
      <c r="E62" s="8">
        <f>#N/A</f>
        <v>0</v>
      </c>
      <c r="F62" s="9">
        <f>HLOOKUP($F$9,Profiles!$A$4:$Q$70,58,0)</f>
        <v>0</v>
      </c>
    </row>
    <row r="63" spans="1:6" s="1" customFormat="1" ht="12.75">
      <c r="A63" s="1"/>
      <c r="B63" s="1" t="s">
        <v>70</v>
      </c>
      <c r="C63" s="1"/>
      <c r="D63" s="8">
        <f>VLOOKUP($B63,Profiles!$B$8:$M$65,3,0)</f>
        <v>0</v>
      </c>
      <c r="E63" s="8">
        <f>#N/A</f>
        <v>0</v>
      </c>
      <c r="F63" s="9">
        <f>HLOOKUP($F$9,Profiles!$A$4:$Q$70,59,0)</f>
        <v>0</v>
      </c>
    </row>
    <row r="64" spans="1:6" s="1" customFormat="1" ht="12.75">
      <c r="A64" s="1"/>
      <c r="B64" s="1" t="s">
        <v>71</v>
      </c>
      <c r="C64" s="1"/>
      <c r="D64" s="11">
        <f>VLOOKUP($B64,Profiles!$B$8:$M$65,3,0)</f>
        <v>0</v>
      </c>
      <c r="E64" s="8">
        <f>#N/A</f>
        <v>0</v>
      </c>
      <c r="F64" s="9">
        <f>HLOOKUP($F$9,Profiles!$A$4:$Q$70,60,0)</f>
        <v>0</v>
      </c>
    </row>
    <row r="65" spans="1:5" s="1" customFormat="1" ht="12.75">
      <c r="A65" s="1"/>
      <c r="B65" s="1" t="s">
        <v>72</v>
      </c>
      <c r="E65" s="17">
        <f>SUM(E10:E64)</f>
        <v>0</v>
      </c>
    </row>
    <row r="66" spans="1:5" s="1" customFormat="1" ht="12.75">
      <c r="A66" s="1"/>
      <c r="B66" s="13" t="s">
        <v>73</v>
      </c>
      <c r="C66" s="13"/>
      <c r="E66" s="18">
        <f>(E65*1.15)</f>
        <v>0</v>
      </c>
    </row>
    <row r="67" spans="2:5" s="1" customFormat="1" ht="12.75">
      <c r="B67" s="13"/>
      <c r="C67" s="13"/>
      <c r="E67" s="13"/>
    </row>
    <row r="68" s="1" customFormat="1" ht="12.75"/>
    <row r="69" spans="1:8" s="1" customFormat="1" ht="12.75">
      <c r="A69" s="19"/>
      <c r="B69" s="19"/>
      <c r="C69" s="19"/>
      <c r="D69" s="19"/>
      <c r="E69" s="19"/>
      <c r="F69" s="19"/>
      <c r="G69" s="19"/>
      <c r="H69" s="19"/>
    </row>
    <row r="70" s="1" customFormat="1" ht="12.75">
      <c r="A70" s="5" t="s">
        <v>74</v>
      </c>
    </row>
    <row r="71" spans="1:11" s="1" customFormat="1" ht="12.75">
      <c r="A71" s="1"/>
      <c r="B71" s="20" t="s">
        <v>75</v>
      </c>
      <c r="C71" s="20"/>
      <c r="D71" s="20"/>
      <c r="E71" s="21">
        <v>24</v>
      </c>
      <c r="K71" s="22"/>
    </row>
    <row r="72" spans="1:11" s="1" customFormat="1" ht="12.75">
      <c r="A72" s="1"/>
      <c r="B72" s="20" t="s">
        <v>76</v>
      </c>
      <c r="C72" s="20"/>
      <c r="D72" s="20"/>
      <c r="E72" s="21">
        <v>48</v>
      </c>
      <c r="K72" s="22"/>
    </row>
    <row r="73" spans="1:11" s="1" customFormat="1" ht="12.75">
      <c r="A73" s="1"/>
      <c r="B73" s="20" t="s">
        <v>77</v>
      </c>
      <c r="C73" s="20"/>
      <c r="D73" s="20"/>
      <c r="E73" s="23">
        <f>(E66)/E71</f>
        <v>0</v>
      </c>
      <c r="K73" s="24"/>
    </row>
    <row r="74" spans="1:11" s="1" customFormat="1" ht="12.75">
      <c r="A74" s="1"/>
      <c r="B74" s="20" t="s">
        <v>78</v>
      </c>
      <c r="C74" s="20"/>
      <c r="D74" s="20"/>
      <c r="E74" s="25">
        <v>30</v>
      </c>
      <c r="K74" s="24"/>
    </row>
    <row r="75" spans="1:11" s="1" customFormat="1" ht="12.75">
      <c r="A75" s="1"/>
      <c r="B75" s="20" t="s">
        <v>79</v>
      </c>
      <c r="C75" s="20"/>
      <c r="D75" s="20"/>
      <c r="E75" s="26">
        <f>IF($E$74&lt;41,1+((77-E74)/15)*0.1,1)</f>
        <v>0</v>
      </c>
      <c r="F75" s="27"/>
      <c r="K75" s="24"/>
    </row>
    <row r="76" spans="1:11" s="1" customFormat="1" ht="12.75">
      <c r="A76" s="1"/>
      <c r="B76" s="20" t="s">
        <v>80</v>
      </c>
      <c r="C76" s="20"/>
      <c r="D76" s="20"/>
      <c r="E76" s="23">
        <f>(E73*E75)</f>
        <v>0</v>
      </c>
      <c r="K76" s="22"/>
    </row>
    <row r="77" spans="1:11" s="1" customFormat="1" ht="12.75">
      <c r="A77" s="1"/>
      <c r="B77" s="20" t="s">
        <v>81</v>
      </c>
      <c r="C77" s="20"/>
      <c r="D77" s="20"/>
      <c r="E77" s="21">
        <v>4</v>
      </c>
      <c r="K77" s="28"/>
    </row>
    <row r="78" spans="1:11" s="1" customFormat="1" ht="12.75">
      <c r="A78" s="1"/>
      <c r="B78" s="20" t="s">
        <v>82</v>
      </c>
      <c r="C78" s="20"/>
      <c r="D78" s="20"/>
      <c r="E78" s="29">
        <f>(E76/E77)</f>
        <v>0</v>
      </c>
      <c r="K78" s="24"/>
    </row>
    <row r="79" spans="1:11" s="1" customFormat="1" ht="12.75">
      <c r="A79" s="1"/>
      <c r="B79" s="20" t="s">
        <v>83</v>
      </c>
      <c r="C79" s="20"/>
      <c r="D79" s="20"/>
      <c r="E79" s="25" t="s">
        <v>84</v>
      </c>
      <c r="F79" s="25"/>
      <c r="K79" s="22"/>
    </row>
    <row r="80" spans="1:11" s="1" customFormat="1" ht="12.75">
      <c r="A80" s="1"/>
      <c r="B80" s="20" t="s">
        <v>85</v>
      </c>
      <c r="C80" s="20"/>
      <c r="D80" s="20"/>
      <c r="E80" s="23">
        <f>EVEN(ROUNDUP(E72/E91,))</f>
        <v>0</v>
      </c>
      <c r="F80" s="30"/>
      <c r="K80" s="28"/>
    </row>
    <row r="81" spans="1:11" s="1" customFormat="1" ht="12.75">
      <c r="A81" s="1"/>
      <c r="B81" s="20" t="s">
        <v>86</v>
      </c>
      <c r="C81" s="20"/>
      <c r="D81" s="20"/>
      <c r="E81" s="23">
        <f>EVEN(ROUNDUP(($E78/$E92)/($E72/$E71),))</f>
        <v>0</v>
      </c>
      <c r="F81" s="30"/>
      <c r="K81" s="28"/>
    </row>
    <row r="82" spans="1:11" s="1" customFormat="1" ht="12.75">
      <c r="A82" s="1"/>
      <c r="B82" s="31" t="s">
        <v>87</v>
      </c>
      <c r="C82" s="32"/>
      <c r="D82" s="32"/>
      <c r="E82" s="29">
        <f>((ROUNDUP(E81,)*ROUNDUP(E80,)))</f>
        <v>0</v>
      </c>
      <c r="F82" s="32"/>
      <c r="K82" s="24"/>
    </row>
    <row r="83" spans="1:11" s="1" customFormat="1" ht="12.75">
      <c r="A83" s="1"/>
      <c r="B83" s="31" t="s">
        <v>88</v>
      </c>
      <c r="C83" s="32"/>
      <c r="D83" s="32"/>
      <c r="E83" s="23">
        <f>ROUNDUP(($E95*$E80)/12,)</f>
        <v>0</v>
      </c>
      <c r="F83" s="30"/>
      <c r="K83" s="24"/>
    </row>
    <row r="84" spans="1:11" s="1" customFormat="1" ht="12.75">
      <c r="A84" s="1"/>
      <c r="B84" s="31" t="s">
        <v>89</v>
      </c>
      <c r="C84" s="32"/>
      <c r="D84" s="32"/>
      <c r="E84" s="23">
        <f>ROUNDUP(($E96*$E81)/12,)</f>
        <v>0</v>
      </c>
      <c r="F84" s="30"/>
      <c r="K84" s="24"/>
    </row>
    <row r="85" spans="1:11" s="1" customFormat="1" ht="12.75">
      <c r="A85" s="1"/>
      <c r="B85" s="32" t="s">
        <v>90</v>
      </c>
      <c r="C85" s="20"/>
      <c r="D85" s="20"/>
      <c r="E85" s="33">
        <f>$E97*E82</f>
        <v>0</v>
      </c>
      <c r="F85" s="33"/>
      <c r="H85" s="16"/>
      <c r="I85" s="13"/>
      <c r="J85" s="13"/>
      <c r="K85" s="24"/>
    </row>
    <row r="86" spans="2:11" s="1" customFormat="1" ht="12.75">
      <c r="B86" s="13"/>
      <c r="E86" s="34"/>
      <c r="F86" s="35"/>
      <c r="H86" s="16"/>
      <c r="I86" s="13"/>
      <c r="J86" s="13"/>
      <c r="K86" s="24"/>
    </row>
    <row r="87" spans="1:11" s="1" customFormat="1" ht="12.75">
      <c r="A87" s="5" t="s">
        <v>91</v>
      </c>
      <c r="B87" s="13"/>
      <c r="E87" s="34"/>
      <c r="F87" s="35"/>
      <c r="H87" s="16"/>
      <c r="I87" s="13"/>
      <c r="J87" s="13"/>
      <c r="K87" s="24"/>
    </row>
    <row r="88" spans="1:6" s="1" customFormat="1" ht="12.75">
      <c r="A88" s="5"/>
      <c r="B88" s="31" t="s">
        <v>92</v>
      </c>
      <c r="C88" s="20"/>
      <c r="D88" s="20"/>
      <c r="E88" s="36">
        <f>VLOOKUP($E79,Panels!$B$5:$L57,10,0)</f>
        <v>0</v>
      </c>
      <c r="F88" s="35"/>
    </row>
    <row r="89" spans="1:11" s="1" customFormat="1" ht="12.75">
      <c r="A89" s="1"/>
      <c r="B89" s="20" t="s">
        <v>93</v>
      </c>
      <c r="C89" s="20"/>
      <c r="D89" s="20"/>
      <c r="E89" s="37">
        <f>VLOOKUP($E$79,Panels!$B$5:$L57,9,0)</f>
        <v>0</v>
      </c>
      <c r="F89" s="38"/>
      <c r="K89" s="4"/>
    </row>
    <row r="90" spans="1:11" s="1" customFormat="1" ht="12.75">
      <c r="A90" s="1"/>
      <c r="B90" s="20" t="s">
        <v>94</v>
      </c>
      <c r="C90" s="20"/>
      <c r="D90" s="20"/>
      <c r="E90" s="39">
        <f>VLOOKUP($E$79,Panels!$B$5:$L57,2,0)</f>
        <v>0</v>
      </c>
      <c r="K90" s="24"/>
    </row>
    <row r="91" spans="1:11" s="1" customFormat="1" ht="12.75">
      <c r="A91" s="1"/>
      <c r="B91" s="20" t="s">
        <v>95</v>
      </c>
      <c r="C91" s="20"/>
      <c r="D91" s="20"/>
      <c r="E91" s="39">
        <f>VLOOKUP($E$79,Panels!$B$5:$L57,3,0)</f>
        <v>0</v>
      </c>
      <c r="K91" s="24"/>
    </row>
    <row r="92" spans="1:11" s="1" customFormat="1" ht="12.75">
      <c r="A92" s="1"/>
      <c r="B92" s="20" t="s">
        <v>96</v>
      </c>
      <c r="C92" s="20"/>
      <c r="D92" s="20"/>
      <c r="E92" s="39">
        <f>VLOOKUP($E$79,Panels!$B$5:$L57,4,0)</f>
        <v>0</v>
      </c>
      <c r="F92" s="38"/>
      <c r="K92" s="4"/>
    </row>
    <row r="93" spans="1:11" s="1" customFormat="1" ht="12.75">
      <c r="A93" s="1"/>
      <c r="B93" s="20" t="s">
        <v>97</v>
      </c>
      <c r="C93" s="20"/>
      <c r="D93" s="20"/>
      <c r="E93" s="39">
        <f>VLOOKUP($E$79,Panels!$B$5:$L57,5,0)</f>
        <v>0</v>
      </c>
      <c r="F93" s="38"/>
      <c r="K93" s="4"/>
    </row>
    <row r="94" spans="1:11" s="1" customFormat="1" ht="12.75">
      <c r="A94" s="1"/>
      <c r="B94" s="20" t="s">
        <v>98</v>
      </c>
      <c r="C94" s="20"/>
      <c r="D94" s="20"/>
      <c r="E94" s="39">
        <f>VLOOKUP($E$79,Panels!$B$5:$L57,6,0)</f>
        <v>0</v>
      </c>
      <c r="F94" s="38"/>
      <c r="K94" s="4"/>
    </row>
    <row r="95" spans="1:11" s="1" customFormat="1" ht="12.75">
      <c r="A95" s="1"/>
      <c r="B95" s="20" t="s">
        <v>99</v>
      </c>
      <c r="C95" s="20"/>
      <c r="D95" s="20"/>
      <c r="E95" s="39">
        <f>VLOOKUP($E$79,Panels!$B$5:$L57,7,0)</f>
        <v>0</v>
      </c>
      <c r="F95" s="15"/>
      <c r="K95" s="4"/>
    </row>
    <row r="96" spans="1:11" s="1" customFormat="1" ht="12.75">
      <c r="A96" s="1"/>
      <c r="B96" s="20" t="s">
        <v>100</v>
      </c>
      <c r="C96" s="20"/>
      <c r="D96" s="20"/>
      <c r="E96" s="39">
        <f>VLOOKUP($E$79,Panels!$B$5:$L57,8,0)</f>
        <v>0</v>
      </c>
      <c r="F96" s="15"/>
      <c r="K96" s="4"/>
    </row>
    <row r="97" spans="1:11" s="1" customFormat="1" ht="12.75">
      <c r="A97" s="1"/>
      <c r="B97" s="20" t="s">
        <v>101</v>
      </c>
      <c r="C97" s="20"/>
      <c r="D97" s="20"/>
      <c r="E97" s="37">
        <f>VLOOKUP($E$79,Panels!$B$12:$L57,11,0)</f>
        <v>0</v>
      </c>
      <c r="F97" s="3"/>
      <c r="K97" s="22"/>
    </row>
    <row r="98" spans="2:11" s="1" customFormat="1" ht="12.75">
      <c r="B98" s="13"/>
      <c r="E98" s="34"/>
      <c r="F98" s="35"/>
      <c r="H98" s="16"/>
      <c r="I98" s="13"/>
      <c r="J98" s="13"/>
      <c r="K98" s="24"/>
    </row>
    <row r="99" spans="1:11" s="1" customFormat="1" ht="12.75">
      <c r="A99" s="5" t="s">
        <v>102</v>
      </c>
      <c r="B99" s="13"/>
      <c r="E99" s="34"/>
      <c r="F99" s="35"/>
      <c r="H99" s="16"/>
      <c r="I99" s="13"/>
      <c r="J99" s="13"/>
      <c r="K99" s="24"/>
    </row>
    <row r="100" spans="1:11" s="1" customFormat="1" ht="12.75">
      <c r="A100" s="1"/>
      <c r="B100" s="40" t="s">
        <v>103</v>
      </c>
      <c r="C100" s="40"/>
      <c r="D100" s="41"/>
      <c r="E100" s="42">
        <v>1.25</v>
      </c>
      <c r="F100" s="43"/>
      <c r="K100" s="28"/>
    </row>
    <row r="101" spans="1:11" s="1" customFormat="1" ht="12.75">
      <c r="A101" s="1"/>
      <c r="B101" s="40" t="s">
        <v>104</v>
      </c>
      <c r="C101" s="40"/>
      <c r="D101" s="41"/>
      <c r="E101" s="44">
        <f>E100*E94</f>
        <v>0</v>
      </c>
      <c r="F101" s="43"/>
      <c r="K101" s="28"/>
    </row>
    <row r="102" spans="2:5" ht="12.75">
      <c r="B102" s="40" t="s">
        <v>105</v>
      </c>
      <c r="C102" s="40"/>
      <c r="D102" s="45"/>
      <c r="E102" s="46">
        <f>(E81*E101)*125%</f>
        <v>0</v>
      </c>
    </row>
    <row r="103" spans="2:5" ht="12.75">
      <c r="B103" s="40" t="s">
        <v>106</v>
      </c>
      <c r="C103" s="40"/>
      <c r="D103" s="47"/>
      <c r="E103" s="48">
        <f>(E80*E93)*125%</f>
        <v>0</v>
      </c>
    </row>
    <row r="104" spans="2:5" ht="12.75">
      <c r="B104" s="40" t="s">
        <v>107</v>
      </c>
      <c r="C104" s="40"/>
      <c r="D104" s="47"/>
      <c r="E104" s="48">
        <f>(E101*E81)*156%</f>
        <v>0</v>
      </c>
    </row>
    <row r="105" spans="8:11" s="1" customFormat="1" ht="12.75">
      <c r="H105" s="13"/>
      <c r="K105" s="49"/>
    </row>
    <row r="106" spans="1:11" s="1" customFormat="1" ht="12.75">
      <c r="A106" s="5" t="s">
        <v>108</v>
      </c>
      <c r="K106" s="3"/>
    </row>
    <row r="107" spans="1:11" s="1" customFormat="1" ht="12.75">
      <c r="A107" s="1"/>
      <c r="B107" s="20" t="s">
        <v>109</v>
      </c>
      <c r="C107" s="20"/>
      <c r="D107" s="20"/>
      <c r="E107" s="21">
        <v>4</v>
      </c>
      <c r="K107" s="50"/>
    </row>
    <row r="108" spans="1:5" s="1" customFormat="1" ht="12.75">
      <c r="A108" s="1"/>
      <c r="B108" s="20" t="s">
        <v>110</v>
      </c>
      <c r="C108" s="20"/>
      <c r="D108" s="20"/>
      <c r="E108" s="51">
        <v>0.5</v>
      </c>
    </row>
    <row r="109" spans="1:6" s="1" customFormat="1" ht="12.75">
      <c r="A109" s="1"/>
      <c r="B109" s="20" t="s">
        <v>111</v>
      </c>
      <c r="C109" s="20"/>
      <c r="D109" s="20"/>
      <c r="E109" s="52">
        <f>(E76*E107)/E108</f>
        <v>0</v>
      </c>
      <c r="F109" s="38"/>
    </row>
    <row r="110" spans="1:7" s="1" customFormat="1" ht="12.75">
      <c r="A110" s="1"/>
      <c r="B110" s="20" t="s">
        <v>112</v>
      </c>
      <c r="C110" s="20"/>
      <c r="D110" s="20"/>
      <c r="E110" s="53" t="s">
        <v>113</v>
      </c>
      <c r="F110" s="54"/>
      <c r="G110" s="55"/>
    </row>
    <row r="111" spans="1:7" s="1" customFormat="1" ht="12.75">
      <c r="A111" s="1"/>
      <c r="B111" s="20" t="s">
        <v>114</v>
      </c>
      <c r="C111" s="20"/>
      <c r="D111" s="20"/>
      <c r="E111" s="56">
        <f>VLOOKUP(E110,Batteries!$B1:$E30,2,0)</f>
        <v>0</v>
      </c>
      <c r="F111" s="38"/>
      <c r="G111" s="38"/>
    </row>
    <row r="112" spans="1:7" s="1" customFormat="1" ht="12.75">
      <c r="A112" s="1"/>
      <c r="B112" s="20" t="s">
        <v>115</v>
      </c>
      <c r="C112" s="20"/>
      <c r="D112" s="20"/>
      <c r="E112" s="52">
        <f>ROUNDUP($E109/E111,)</f>
        <v>0</v>
      </c>
      <c r="F112" s="43"/>
      <c r="G112" s="43"/>
    </row>
    <row r="113" spans="1:7" s="1" customFormat="1" ht="12.75">
      <c r="A113" s="1"/>
      <c r="B113" s="20" t="s">
        <v>116</v>
      </c>
      <c r="C113" s="20"/>
      <c r="D113" s="20"/>
      <c r="E113" s="56">
        <f>VLOOKUP(E110,Batteries!$B1:$E30,3,0)</f>
        <v>0</v>
      </c>
      <c r="F113" s="38"/>
      <c r="G113" s="38"/>
    </row>
    <row r="114" spans="1:7" s="1" customFormat="1" ht="12.75">
      <c r="A114" s="1"/>
      <c r="B114" s="20" t="s">
        <v>117</v>
      </c>
      <c r="C114" s="20"/>
      <c r="D114" s="20"/>
      <c r="E114" s="52">
        <f>($E71/E113)</f>
        <v>0</v>
      </c>
      <c r="F114" s="43"/>
      <c r="G114" s="43"/>
    </row>
    <row r="115" spans="1:7" s="1" customFormat="1" ht="12.75">
      <c r="A115" s="1"/>
      <c r="B115" s="31" t="s">
        <v>118</v>
      </c>
      <c r="C115" s="32"/>
      <c r="D115" s="32"/>
      <c r="E115" s="52">
        <f>EVEN(ROUNDUP(EVEN(E112)*E114,2))</f>
        <v>0</v>
      </c>
      <c r="F115" s="43"/>
      <c r="G115" s="43"/>
    </row>
    <row r="116" spans="1:7" s="1" customFormat="1" ht="12.75">
      <c r="A116" s="1"/>
      <c r="B116" s="31" t="s">
        <v>119</v>
      </c>
      <c r="C116" s="32"/>
      <c r="D116" s="32"/>
      <c r="E116" s="52">
        <f>E112*E111</f>
        <v>0</v>
      </c>
      <c r="F116" s="43"/>
      <c r="G116" s="43"/>
    </row>
    <row r="117" spans="1:7" s="1" customFormat="1" ht="12.75">
      <c r="A117" s="1"/>
      <c r="B117" s="32" t="s">
        <v>120</v>
      </c>
      <c r="C117" s="20"/>
      <c r="D117" s="20"/>
      <c r="E117" s="57">
        <f>VLOOKUP(E110,Batteries!$B1:F30,4,0)*E115</f>
        <v>0</v>
      </c>
      <c r="F117" s="58"/>
      <c r="G117" s="58"/>
    </row>
    <row r="118" s="1" customFormat="1" ht="12.75"/>
    <row r="119" s="1" customFormat="1" ht="12.75">
      <c r="A119" s="5" t="s">
        <v>121</v>
      </c>
    </row>
    <row r="120" spans="1:6" s="1" customFormat="1" ht="12.75">
      <c r="A120" s="1"/>
      <c r="B120" s="20" t="s">
        <v>122</v>
      </c>
      <c r="C120" s="20"/>
      <c r="D120" s="20"/>
      <c r="E120" s="25" t="s">
        <v>123</v>
      </c>
      <c r="F120" s="59"/>
    </row>
    <row r="121" spans="1:6" s="1" customFormat="1" ht="12.75">
      <c r="A121" s="1"/>
      <c r="B121" s="20" t="s">
        <v>124</v>
      </c>
      <c r="C121" s="20"/>
      <c r="D121" s="20"/>
      <c r="E121" s="56">
        <f>VLOOKUP(E120,Inverters!$B1:$H23,3,0)</f>
        <v>0</v>
      </c>
      <c r="F121" s="38"/>
    </row>
    <row r="122" spans="1:6" s="1" customFormat="1" ht="12.75">
      <c r="A122" s="1"/>
      <c r="B122" s="20" t="s">
        <v>125</v>
      </c>
      <c r="C122" s="20"/>
      <c r="D122" s="20"/>
      <c r="E122" s="56">
        <f>VLOOKUP(E120,Inverters!$B1:$H23,4,0)</f>
        <v>0</v>
      </c>
      <c r="F122" s="38"/>
    </row>
    <row r="123" spans="1:6" s="1" customFormat="1" ht="12.75">
      <c r="A123" s="1"/>
      <c r="B123" s="32" t="s">
        <v>126</v>
      </c>
      <c r="C123" s="20"/>
      <c r="D123" s="20"/>
      <c r="E123" s="60">
        <f>VLOOKUP(E120,Inverters!$B1:$H23,6,0)</f>
        <v>0</v>
      </c>
      <c r="F123" s="18"/>
    </row>
    <row r="124" spans="1:6" s="1" customFormat="1" ht="12.75">
      <c r="A124" s="1"/>
      <c r="B124" s="20" t="s">
        <v>127</v>
      </c>
      <c r="C124" s="20"/>
      <c r="D124" s="20"/>
      <c r="E124" s="25" t="s">
        <v>128</v>
      </c>
      <c r="F124" s="61"/>
    </row>
    <row r="125" spans="1:6" s="1" customFormat="1" ht="12.75">
      <c r="A125" s="1"/>
      <c r="B125" s="32" t="s">
        <v>129</v>
      </c>
      <c r="C125" s="20"/>
      <c r="D125" s="20"/>
      <c r="E125" s="62">
        <f>VLOOKUP(E124,'Power Centers'!$B1:$G20,6,0)</f>
        <v>0</v>
      </c>
      <c r="F125" s="63" t="s">
        <v>130</v>
      </c>
    </row>
    <row r="126" spans="1:5" s="1" customFormat="1" ht="12.75">
      <c r="A126" s="1"/>
      <c r="B126" s="20" t="s">
        <v>131</v>
      </c>
      <c r="C126" s="20"/>
      <c r="D126" s="20"/>
      <c r="E126" s="64">
        <f>SUM(E125,E123)</f>
        <v>0</v>
      </c>
    </row>
    <row r="127" s="1" customFormat="1" ht="12.75"/>
    <row r="128" spans="1:6" s="1" customFormat="1" ht="12.75">
      <c r="A128" s="13" t="s">
        <v>132</v>
      </c>
      <c r="E128" s="65">
        <f>SUM(E85,E117,E123,E126)</f>
        <v>0</v>
      </c>
      <c r="F128" s="1" t="s">
        <v>133</v>
      </c>
    </row>
    <row r="129" spans="1:6" s="1" customFormat="1" ht="12.75">
      <c r="A129" s="13" t="s">
        <v>134</v>
      </c>
      <c r="E129" s="66">
        <v>0.06</v>
      </c>
      <c r="F129" s="1" t="s">
        <v>135</v>
      </c>
    </row>
    <row r="130" spans="1:5" s="1" customFormat="1" ht="12.75">
      <c r="A130" s="1" t="s">
        <v>136</v>
      </c>
      <c r="E130" s="67">
        <v>0</v>
      </c>
    </row>
    <row r="131" spans="1:6" s="1" customFormat="1" ht="12.75">
      <c r="A131" s="1" t="s">
        <v>137</v>
      </c>
      <c r="E131" s="68">
        <f>(E128-(E128*E130))-((E128-(E128*E130)))*E129</f>
        <v>0</v>
      </c>
      <c r="F131" s="69"/>
    </row>
    <row r="132" s="1" customFormat="1" ht="12.75">
      <c r="D132" s="69"/>
    </row>
    <row r="133" spans="1:8" s="1" customFormat="1" ht="12.75">
      <c r="A133" s="19"/>
      <c r="B133" s="19"/>
      <c r="C133" s="19"/>
      <c r="D133" s="19"/>
      <c r="E133" s="19"/>
      <c r="F133" s="19"/>
      <c r="G133" s="19"/>
      <c r="H133" s="19"/>
    </row>
    <row r="134" spans="1:3" s="1" customFormat="1" ht="22.5">
      <c r="A134" s="1"/>
      <c r="B134" s="70" t="s">
        <v>138</v>
      </c>
      <c r="C134" s="71"/>
    </row>
    <row r="135" s="1" customFormat="1" ht="12.75"/>
    <row r="136" s="1" customFormat="1" ht="12.75"/>
    <row r="137" s="1" customFormat="1" ht="12.75"/>
    <row r="138" s="1" customFormat="1" ht="12.75">
      <c r="A138" s="5" t="s">
        <v>139</v>
      </c>
    </row>
    <row r="139" spans="1:5" s="1" customFormat="1" ht="12.75">
      <c r="A139" s="1"/>
      <c r="B139" s="20" t="s">
        <v>140</v>
      </c>
      <c r="C139" s="20"/>
      <c r="D139" s="20"/>
      <c r="E139" s="21">
        <v>12</v>
      </c>
    </row>
    <row r="140" spans="1:5" s="1" customFormat="1" ht="12.75">
      <c r="A140" s="1"/>
      <c r="B140" s="20" t="s">
        <v>141</v>
      </c>
      <c r="C140" s="20"/>
      <c r="D140" s="20"/>
      <c r="E140" s="21">
        <v>12</v>
      </c>
    </row>
    <row r="141" spans="1:5" s="1" customFormat="1" ht="12.75">
      <c r="A141" s="1"/>
      <c r="B141" s="20" t="s">
        <v>142</v>
      </c>
      <c r="C141" s="20"/>
      <c r="D141" s="20"/>
      <c r="E141" s="30">
        <v>18</v>
      </c>
    </row>
    <row r="142" spans="1:5" s="1" customFormat="1" ht="12.75">
      <c r="A142" s="1"/>
      <c r="B142" s="20" t="s">
        <v>143</v>
      </c>
      <c r="C142" s="20"/>
      <c r="D142" s="20"/>
      <c r="E142" s="25">
        <v>60</v>
      </c>
    </row>
    <row r="143" spans="1:6" s="1" customFormat="1" ht="12.75">
      <c r="A143" s="1"/>
      <c r="B143" s="20" t="s">
        <v>144</v>
      </c>
      <c r="C143" s="20"/>
      <c r="D143" s="20"/>
      <c r="E143" s="26">
        <f>IF($E$74&lt;41,1+((77-E142)/15)*0.1,1)</f>
        <v>0</v>
      </c>
      <c r="F143" s="27"/>
    </row>
    <row r="144" spans="1:5" s="1" customFormat="1" ht="12.75">
      <c r="A144" s="1"/>
      <c r="B144" s="20" t="s">
        <v>145</v>
      </c>
      <c r="C144" s="20"/>
      <c r="D144" s="20"/>
      <c r="E144" s="23">
        <f>(E141*E143)</f>
        <v>0</v>
      </c>
    </row>
    <row r="145" spans="1:5" s="1" customFormat="1" ht="12.75">
      <c r="A145" s="1"/>
      <c r="B145" s="20" t="s">
        <v>146</v>
      </c>
      <c r="C145" s="20"/>
      <c r="D145" s="20"/>
      <c r="E145" s="21">
        <v>4</v>
      </c>
    </row>
    <row r="146" spans="1:5" s="1" customFormat="1" ht="12.75">
      <c r="A146" s="1"/>
      <c r="B146" s="20" t="s">
        <v>147</v>
      </c>
      <c r="C146" s="20"/>
      <c r="D146" s="20"/>
      <c r="E146" s="29">
        <f>(E144/E145)</f>
        <v>0</v>
      </c>
    </row>
    <row r="147" spans="1:6" s="1" customFormat="1" ht="12.75">
      <c r="A147" s="1"/>
      <c r="B147" s="20" t="s">
        <v>148</v>
      </c>
      <c r="C147" s="20"/>
      <c r="D147" s="20"/>
      <c r="E147" s="25" t="s">
        <v>149</v>
      </c>
      <c r="F147" s="3"/>
    </row>
    <row r="148" spans="1:6" s="1" customFormat="1" ht="12.75">
      <c r="A148" s="1"/>
      <c r="B148" s="20" t="s">
        <v>150</v>
      </c>
      <c r="C148" s="20"/>
      <c r="D148" s="20"/>
      <c r="E148" s="23">
        <f>ROUNDUP(E140/E159,)</f>
        <v>0</v>
      </c>
      <c r="F148" s="43"/>
    </row>
    <row r="149" spans="1:6" s="1" customFormat="1" ht="12.75">
      <c r="A149" s="1"/>
      <c r="B149" s="20" t="s">
        <v>151</v>
      </c>
      <c r="C149" s="20"/>
      <c r="D149" s="20"/>
      <c r="E149" s="23">
        <f>ROUNDUP(($E146/$E160)/($E140/$E139),)</f>
        <v>0</v>
      </c>
      <c r="F149" s="72"/>
    </row>
    <row r="150" spans="1:6" s="1" customFormat="1" ht="12.75">
      <c r="A150" s="1"/>
      <c r="B150" s="31" t="s">
        <v>152</v>
      </c>
      <c r="C150" s="32"/>
      <c r="D150" s="32"/>
      <c r="E150" s="29">
        <f>((ROUNDUP(E149,)*ROUNDUP(E148,)))</f>
        <v>0</v>
      </c>
      <c r="F150" s="72"/>
    </row>
    <row r="151" spans="1:11" s="1" customFormat="1" ht="12.75">
      <c r="A151" s="1"/>
      <c r="B151" s="31" t="s">
        <v>153</v>
      </c>
      <c r="C151" s="32"/>
      <c r="D151" s="32"/>
      <c r="E151" s="23">
        <f>ROUNDUP(($E163*$E148)/12,)</f>
        <v>0</v>
      </c>
      <c r="K151" s="50"/>
    </row>
    <row r="152" spans="1:6" s="1" customFormat="1" ht="12.75">
      <c r="A152" s="1"/>
      <c r="B152" s="31" t="s">
        <v>154</v>
      </c>
      <c r="C152" s="32"/>
      <c r="D152" s="32"/>
      <c r="E152" s="23">
        <f>ROUNDUP(($E164*$E149)/12,)</f>
        <v>0</v>
      </c>
      <c r="F152" s="72"/>
    </row>
    <row r="153" spans="1:6" s="1" customFormat="1" ht="12.75">
      <c r="A153" s="1"/>
      <c r="B153" s="32" t="s">
        <v>155</v>
      </c>
      <c r="C153" s="20"/>
      <c r="D153" s="20"/>
      <c r="E153" s="33">
        <f>$E165*E150</f>
        <v>0</v>
      </c>
      <c r="F153" s="35"/>
    </row>
    <row r="154" spans="2:6" s="1" customFormat="1" ht="12.75">
      <c r="B154" s="13"/>
      <c r="E154" s="34"/>
      <c r="F154" s="35"/>
    </row>
    <row r="155" spans="1:6" s="1" customFormat="1" ht="12.75">
      <c r="A155" s="5" t="s">
        <v>156</v>
      </c>
      <c r="B155" s="13"/>
      <c r="E155" s="34"/>
      <c r="F155" s="35"/>
    </row>
    <row r="156" spans="1:6" s="1" customFormat="1" ht="12.75">
      <c r="A156" s="5"/>
      <c r="B156" s="31" t="s">
        <v>157</v>
      </c>
      <c r="C156" s="20"/>
      <c r="D156" s="20"/>
      <c r="E156" s="36">
        <f>VLOOKUP($E$147,Panels!$B$5:$L$51,10,0)</f>
        <v>0</v>
      </c>
      <c r="F156" s="35"/>
    </row>
    <row r="157" spans="1:6" s="1" customFormat="1" ht="12.75">
      <c r="A157" s="1"/>
      <c r="B157" s="20" t="s">
        <v>158</v>
      </c>
      <c r="C157" s="20"/>
      <c r="D157" s="20"/>
      <c r="E157" s="37">
        <f>VLOOKUP($E147,Panels!$B$5:$L$57,9,0)</f>
        <v>0</v>
      </c>
      <c r="F157" s="38"/>
    </row>
    <row r="158" spans="1:5" s="1" customFormat="1" ht="12.75">
      <c r="A158" s="1"/>
      <c r="B158" s="20" t="s">
        <v>159</v>
      </c>
      <c r="C158" s="20"/>
      <c r="D158" s="20"/>
      <c r="E158" s="39">
        <f>VLOOKUP($E$147,Panels!$B$5:$L$51,2,0)</f>
        <v>0</v>
      </c>
    </row>
    <row r="159" spans="1:5" s="1" customFormat="1" ht="12.75">
      <c r="A159" s="1"/>
      <c r="B159" s="20" t="s">
        <v>160</v>
      </c>
      <c r="C159" s="20"/>
      <c r="D159" s="20"/>
      <c r="E159" s="39">
        <f>VLOOKUP($E147,Panels!$B$5:$L$51,3,0)</f>
        <v>0</v>
      </c>
    </row>
    <row r="160" spans="1:6" s="1" customFormat="1" ht="12.75">
      <c r="A160" s="1"/>
      <c r="B160" s="20" t="s">
        <v>161</v>
      </c>
      <c r="C160" s="20"/>
      <c r="D160" s="20"/>
      <c r="E160" s="39">
        <f>VLOOKUP($E147,Panels!$B$5:$L$51,4,0)</f>
        <v>0</v>
      </c>
      <c r="F160" s="38"/>
    </row>
    <row r="161" spans="1:6" s="1" customFormat="1" ht="12.75">
      <c r="A161" s="1"/>
      <c r="B161" s="20" t="s">
        <v>162</v>
      </c>
      <c r="C161" s="20"/>
      <c r="D161" s="20"/>
      <c r="E161" s="39">
        <f>VLOOKUP($E147,Panels!$B$5:$L$51,5,0)</f>
        <v>0</v>
      </c>
      <c r="F161" s="38"/>
    </row>
    <row r="162" spans="1:6" s="1" customFormat="1" ht="12.75">
      <c r="A162" s="1"/>
      <c r="B162" s="20" t="s">
        <v>163</v>
      </c>
      <c r="C162" s="20"/>
      <c r="D162" s="20"/>
      <c r="E162" s="39">
        <f>VLOOKUP($E147,Panels!$B$5:$L$51,6,0)</f>
        <v>0</v>
      </c>
      <c r="F162" s="38"/>
    </row>
    <row r="163" spans="1:6" s="1" customFormat="1" ht="12.75">
      <c r="A163" s="1"/>
      <c r="B163" s="20" t="s">
        <v>164</v>
      </c>
      <c r="C163" s="20"/>
      <c r="D163" s="20"/>
      <c r="E163" s="39">
        <f>VLOOKUP($E147,Panels!$B$5:$L$51,7,0)</f>
        <v>0</v>
      </c>
      <c r="F163" s="15"/>
    </row>
    <row r="164" spans="1:6" s="1" customFormat="1" ht="12.75">
      <c r="A164" s="1"/>
      <c r="B164" s="20" t="s">
        <v>165</v>
      </c>
      <c r="C164" s="20"/>
      <c r="D164" s="20"/>
      <c r="E164" s="39">
        <f>VLOOKUP($E147,Panels!$B$5:$L$51,8,0)</f>
        <v>0</v>
      </c>
      <c r="F164" s="15"/>
    </row>
    <row r="165" spans="1:6" s="1" customFormat="1" ht="12.75">
      <c r="A165" s="1"/>
      <c r="B165" s="20" t="s">
        <v>166</v>
      </c>
      <c r="C165" s="20"/>
      <c r="D165" s="20"/>
      <c r="E165" s="37">
        <f>VLOOKUP($E147,Panels!$B$5:$L$51,11,0)</f>
        <v>0</v>
      </c>
      <c r="F165" s="3"/>
    </row>
    <row r="166" spans="2:6" s="1" customFormat="1" ht="12.75">
      <c r="B166" s="13"/>
      <c r="E166" s="34"/>
      <c r="F166" s="35"/>
    </row>
    <row r="167" spans="1:6" s="1" customFormat="1" ht="12.75">
      <c r="A167" s="5" t="s">
        <v>167</v>
      </c>
      <c r="B167" s="13"/>
      <c r="E167" s="34"/>
      <c r="F167" s="35"/>
    </row>
    <row r="168" spans="1:6" s="1" customFormat="1" ht="12.75">
      <c r="A168" s="1"/>
      <c r="B168" s="40" t="s">
        <v>168</v>
      </c>
      <c r="C168" s="40"/>
      <c r="D168" s="41"/>
      <c r="E168" s="42">
        <v>1.25</v>
      </c>
      <c r="F168" s="43"/>
    </row>
    <row r="169" spans="1:6" s="1" customFormat="1" ht="12.75">
      <c r="A169" s="1"/>
      <c r="B169" s="40" t="s">
        <v>169</v>
      </c>
      <c r="C169" s="40"/>
      <c r="D169" s="41"/>
      <c r="E169" s="44">
        <f>E168*E162</f>
        <v>0</v>
      </c>
      <c r="F169" s="43"/>
    </row>
    <row r="170" spans="2:5" s="1" customFormat="1" ht="12.75">
      <c r="B170" s="40" t="s">
        <v>170</v>
      </c>
      <c r="C170" s="40"/>
      <c r="D170" s="45"/>
      <c r="E170" s="46">
        <f>(E149*E169)*125%</f>
        <v>0</v>
      </c>
    </row>
    <row r="171" spans="2:5" s="1" customFormat="1" ht="12.75">
      <c r="B171" s="40" t="s">
        <v>171</v>
      </c>
      <c r="C171" s="40"/>
      <c r="D171" s="47"/>
      <c r="E171" s="48">
        <f>(E148*E161)*125%</f>
        <v>0</v>
      </c>
    </row>
    <row r="172" spans="2:5" s="1" customFormat="1" ht="12.75">
      <c r="B172" s="40" t="s">
        <v>172</v>
      </c>
      <c r="C172" s="40"/>
      <c r="D172" s="47"/>
      <c r="E172" s="48">
        <f>(E169*E149)*156%</f>
        <v>0</v>
      </c>
    </row>
    <row r="173" s="1" customFormat="1" ht="12.75"/>
    <row r="174" s="1" customFormat="1" ht="12.75">
      <c r="A174" s="5" t="s">
        <v>173</v>
      </c>
    </row>
    <row r="175" spans="1:5" s="1" customFormat="1" ht="12.75">
      <c r="A175" s="1"/>
      <c r="B175" s="20" t="s">
        <v>174</v>
      </c>
      <c r="C175" s="20"/>
      <c r="E175" s="7">
        <v>4</v>
      </c>
    </row>
    <row r="176" spans="1:5" s="1" customFormat="1" ht="12.75">
      <c r="A176" s="1"/>
      <c r="B176" s="20" t="s">
        <v>175</v>
      </c>
      <c r="C176" s="20"/>
      <c r="E176" s="73">
        <v>0.5</v>
      </c>
    </row>
    <row r="177" spans="1:6" s="1" customFormat="1" ht="12.75">
      <c r="A177" s="1"/>
      <c r="B177" s="20" t="s">
        <v>176</v>
      </c>
      <c r="C177" s="20"/>
      <c r="E177" s="74">
        <f>(E144*E175)/E176</f>
        <v>0</v>
      </c>
      <c r="F177" s="38"/>
    </row>
    <row r="178" spans="1:7" s="1" customFormat="1" ht="12.75">
      <c r="A178" s="1"/>
      <c r="B178" s="20" t="s">
        <v>177</v>
      </c>
      <c r="C178" s="20"/>
      <c r="E178" s="55">
        <v>15101</v>
      </c>
      <c r="F178" s="54"/>
      <c r="G178" s="55"/>
    </row>
    <row r="179" spans="1:7" s="1" customFormat="1" ht="12.75">
      <c r="A179" s="1"/>
      <c r="B179" s="20" t="s">
        <v>178</v>
      </c>
      <c r="C179" s="20"/>
      <c r="E179" s="75">
        <f>VLOOKUP(E178,Batteries!$B$4:$E$30,2,0)</f>
        <v>0</v>
      </c>
      <c r="F179" s="38"/>
      <c r="G179" s="38"/>
    </row>
    <row r="180" spans="1:7" s="1" customFormat="1" ht="12.75">
      <c r="A180" s="1"/>
      <c r="B180" s="20" t="s">
        <v>179</v>
      </c>
      <c r="C180" s="20"/>
      <c r="E180" s="74">
        <f>ROUNDUP($E177/E179,)</f>
        <v>0</v>
      </c>
      <c r="F180" s="43"/>
      <c r="G180" s="43"/>
    </row>
    <row r="181" spans="1:7" s="1" customFormat="1" ht="12.75">
      <c r="A181" s="1"/>
      <c r="B181" s="20" t="s">
        <v>180</v>
      </c>
      <c r="C181" s="20"/>
      <c r="E181" s="75">
        <f>VLOOKUP(E178,Batteries!$B$4:$E$30,3,0)</f>
        <v>0</v>
      </c>
      <c r="F181" s="38"/>
      <c r="G181" s="38"/>
    </row>
    <row r="182" spans="1:7" s="1" customFormat="1" ht="12.75">
      <c r="A182" s="1"/>
      <c r="B182" s="20" t="s">
        <v>181</v>
      </c>
      <c r="C182" s="20"/>
      <c r="E182" s="74">
        <f>($E139/E181)</f>
        <v>0</v>
      </c>
      <c r="F182" s="43"/>
      <c r="G182" s="43"/>
    </row>
    <row r="183" spans="1:7" s="1" customFormat="1" ht="12.75">
      <c r="A183" s="1"/>
      <c r="B183" s="31" t="s">
        <v>182</v>
      </c>
      <c r="C183" s="32"/>
      <c r="D183" s="13"/>
      <c r="E183" s="74">
        <f>ROUNDUP(E182,)</f>
        <v>0</v>
      </c>
      <c r="F183" s="43"/>
      <c r="G183" s="43"/>
    </row>
    <row r="184" spans="1:7" s="1" customFormat="1" ht="12.75">
      <c r="A184" s="1"/>
      <c r="B184" s="31" t="s">
        <v>183</v>
      </c>
      <c r="C184" s="32"/>
      <c r="D184" s="13"/>
      <c r="E184" s="74">
        <f>E180*E179</f>
        <v>0</v>
      </c>
      <c r="F184" s="43"/>
      <c r="G184" s="43"/>
    </row>
    <row r="185" spans="1:7" s="1" customFormat="1" ht="12.75">
      <c r="A185" s="1"/>
      <c r="B185" s="32" t="s">
        <v>184</v>
      </c>
      <c r="C185" s="20"/>
      <c r="E185" s="76">
        <f>VLOOKUP(E178,Batteries!$B$4:F$30,4,0)*E183</f>
        <v>0</v>
      </c>
      <c r="F185" s="58"/>
      <c r="G185" s="58"/>
    </row>
    <row r="186" s="1" customFormat="1" ht="12.75"/>
    <row r="187" spans="1:6" s="1" customFormat="1" ht="12.75">
      <c r="A187" s="13" t="s">
        <v>185</v>
      </c>
      <c r="E187" s="65">
        <f>SUM(E153,E185)</f>
        <v>0</v>
      </c>
      <c r="F187" s="1" t="s">
        <v>186</v>
      </c>
    </row>
    <row r="188" spans="1:6" s="1" customFormat="1" ht="12.75">
      <c r="A188" s="13" t="s">
        <v>187</v>
      </c>
      <c r="E188" s="66">
        <v>0.06</v>
      </c>
      <c r="F188" s="1" t="s">
        <v>188</v>
      </c>
    </row>
    <row r="189" spans="1:5" s="1" customFormat="1" ht="12.75">
      <c r="A189" s="1" t="s">
        <v>189</v>
      </c>
      <c r="E189" s="67">
        <v>0</v>
      </c>
    </row>
    <row r="190" spans="1:6" s="1" customFormat="1" ht="12.75">
      <c r="A190" s="1" t="s">
        <v>190</v>
      </c>
      <c r="E190" s="68">
        <f>(E187-(E187*E189))-((E187-(E187*E189)))*E188</f>
        <v>0</v>
      </c>
      <c r="F190" s="69"/>
    </row>
    <row r="191" s="1" customFormat="1" ht="12.75">
      <c r="D191" s="69"/>
    </row>
  </sheetData>
  <hyperlinks>
    <hyperlink ref="A4" r:id="rId1" display="http://www.senecass.com"/>
  </hyperlinks>
  <printOptions/>
  <pageMargins left="0.7875" right="0.7875" top="0.7875" bottom="0.7875" header="0.5" footer="0.5"/>
  <pageSetup cellComments="asDisplayed" firstPageNumber="1" useFirstPageNumber="1" horizontalDpi="300" verticalDpi="300" orientation="portrait"/>
  <headerFooter alignWithMargins="0">
    <oddHeader>&amp;C&amp;A</oddHeader>
    <oddFooter>&amp;CPage &amp;P</oddFooter>
  </headerFooter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4">
      <selection activeCell="G28" sqref="G28"/>
    </sheetView>
  </sheetViews>
  <sheetFormatPr defaultColWidth="11.421875" defaultRowHeight="12.75"/>
  <cols>
    <col min="1" max="256" width="11.28125" style="0" customWidth="1"/>
  </cols>
  <sheetData>
    <row r="1" ht="12.75"/>
    <row r="2" ht="12.75">
      <c r="D2" s="142" t="s">
        <v>723</v>
      </c>
    </row>
    <row r="3" ht="12.75"/>
    <row r="4" ht="12.75">
      <c r="A4" s="143"/>
    </row>
    <row r="5" spans="1:3" ht="12.75">
      <c r="A5" t="s">
        <v>724</v>
      </c>
      <c r="C5" s="99">
        <v>0.96</v>
      </c>
    </row>
    <row r="6" ht="12.75"/>
    <row r="7" spans="3:8" ht="12.75">
      <c r="C7" t="s">
        <v>725</v>
      </c>
      <c r="D7" t="s">
        <v>726</v>
      </c>
      <c r="E7" t="s">
        <v>727</v>
      </c>
      <c r="F7" t="s">
        <v>728</v>
      </c>
      <c r="G7" t="s">
        <v>729</v>
      </c>
      <c r="H7" t="s">
        <v>730</v>
      </c>
    </row>
    <row r="8" spans="2:8" ht="12.75">
      <c r="B8" t="s">
        <v>731</v>
      </c>
      <c r="C8">
        <v>18</v>
      </c>
      <c r="D8">
        <v>0.35</v>
      </c>
      <c r="E8">
        <v>1.5</v>
      </c>
      <c r="F8" s="144">
        <f>D8*365</f>
        <v>0</v>
      </c>
      <c r="G8" s="135">
        <v>2499</v>
      </c>
      <c r="H8" s="135">
        <f>F8*$C$5</f>
        <v>0</v>
      </c>
    </row>
    <row r="9" spans="3:8" ht="12.75">
      <c r="C9">
        <v>14</v>
      </c>
      <c r="D9" s="132">
        <f>2/7</f>
        <v>0</v>
      </c>
      <c r="E9">
        <v>1.25</v>
      </c>
      <c r="F9" s="144">
        <f>D9*365</f>
        <v>0</v>
      </c>
      <c r="G9" s="135">
        <v>2430</v>
      </c>
      <c r="H9" s="135">
        <f>F9*$C$5</f>
        <v>0</v>
      </c>
    </row>
    <row r="10" spans="6:8" ht="12.75">
      <c r="F10" s="96"/>
      <c r="G10" s="135"/>
      <c r="H10" s="135"/>
    </row>
    <row r="11" spans="2:8" ht="12.75">
      <c r="B11" t="s">
        <v>732</v>
      </c>
      <c r="C11">
        <v>10</v>
      </c>
      <c r="D11" s="132">
        <f>2.5/7</f>
        <v>0</v>
      </c>
      <c r="F11" s="144">
        <f>D11*365</f>
        <v>0</v>
      </c>
      <c r="G11" s="135">
        <v>1295</v>
      </c>
      <c r="H11" s="135">
        <f>F11*$C$5</f>
        <v>0</v>
      </c>
    </row>
    <row r="12" spans="6:8" ht="12.75">
      <c r="F12" s="144">
        <f>D12*365</f>
        <v>0</v>
      </c>
      <c r="G12" s="135"/>
      <c r="H12" s="135">
        <f>F12*$C$5</f>
        <v>0</v>
      </c>
    </row>
    <row r="13" ht="12.75">
      <c r="G13" s="135"/>
    </row>
    <row r="14" spans="4:7" ht="12.75">
      <c r="D14" t="s">
        <v>733</v>
      </c>
      <c r="G14" s="135"/>
    </row>
    <row r="15" spans="3:7" ht="12.75">
      <c r="C15" t="s">
        <v>734</v>
      </c>
      <c r="D15" t="s">
        <v>735</v>
      </c>
      <c r="E15" t="s">
        <v>736</v>
      </c>
      <c r="F15" t="s">
        <v>737</v>
      </c>
      <c r="G15" s="135"/>
    </row>
    <row r="16" spans="2:7" ht="12.75">
      <c r="B16" t="s">
        <v>738</v>
      </c>
      <c r="C16">
        <v>19</v>
      </c>
      <c r="D16" s="132">
        <f>62/2</f>
        <v>0</v>
      </c>
      <c r="E16" s="132">
        <f>82/2</f>
        <v>0</v>
      </c>
      <c r="F16" s="144">
        <f>E16*24</f>
        <v>0</v>
      </c>
      <c r="G16" s="135"/>
    </row>
    <row r="17" spans="3:6" ht="12.75">
      <c r="C17">
        <v>16</v>
      </c>
      <c r="D17" s="132">
        <f>42/2</f>
        <v>0</v>
      </c>
      <c r="E17" s="132">
        <f>58/2</f>
        <v>0</v>
      </c>
      <c r="F17" s="144">
        <f>E17*24</f>
        <v>0</v>
      </c>
    </row>
    <row r="18" ht="12.75">
      <c r="F18" s="96"/>
    </row>
    <row r="19" spans="4:6" ht="12.75">
      <c r="D19" t="s">
        <v>739</v>
      </c>
      <c r="F19" s="96"/>
    </row>
    <row r="20" spans="4:7" ht="12.75">
      <c r="D20" t="s">
        <v>740</v>
      </c>
      <c r="E20" t="s">
        <v>741</v>
      </c>
      <c r="F20" t="s">
        <v>742</v>
      </c>
      <c r="G20" t="s">
        <v>743</v>
      </c>
    </row>
    <row r="21" spans="2:7" ht="12.75">
      <c r="B21" t="s">
        <v>744</v>
      </c>
      <c r="C21">
        <v>15.6</v>
      </c>
      <c r="D21" s="132">
        <f>1.75/7</f>
        <v>0</v>
      </c>
      <c r="E21" s="132">
        <f>F21/24</f>
        <v>0</v>
      </c>
      <c r="F21">
        <v>2200</v>
      </c>
      <c r="G21">
        <v>260</v>
      </c>
    </row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1" sqref="B1"/>
    </sheetView>
  </sheetViews>
  <sheetFormatPr defaultColWidth="11.421875" defaultRowHeight="12.75"/>
  <cols>
    <col min="1" max="256" width="11.28125" style="0" customWidth="1"/>
  </cols>
  <sheetData>
    <row r="1" ht="16.5">
      <c r="D1" s="91" t="s">
        <v>745</v>
      </c>
    </row>
    <row r="2" ht="12.75"/>
    <row r="3" spans="3:7" ht="12.75">
      <c r="C3" t="s">
        <v>746</v>
      </c>
      <c r="D3" t="s">
        <v>747</v>
      </c>
      <c r="E3" t="s">
        <v>748</v>
      </c>
      <c r="F3" t="s">
        <v>749</v>
      </c>
      <c r="G3" t="s">
        <v>750</v>
      </c>
    </row>
    <row r="4" spans="1:7" ht="12.75">
      <c r="A4" t="s">
        <v>751</v>
      </c>
      <c r="B4" t="s">
        <v>752</v>
      </c>
      <c r="C4">
        <v>60</v>
      </c>
      <c r="D4">
        <v>140</v>
      </c>
      <c r="E4">
        <v>48</v>
      </c>
      <c r="F4">
        <v>24</v>
      </c>
      <c r="G4">
        <v>487</v>
      </c>
    </row>
    <row r="5" ht="12.75"/>
    <row r="6" ht="12.75"/>
    <row r="7" ht="12.75"/>
    <row r="8" ht="12.75"/>
    <row r="9" spans="1:6" ht="12.75">
      <c r="A9" t="s">
        <v>753</v>
      </c>
      <c r="B9">
        <v>50</v>
      </c>
      <c r="C9">
        <v>50</v>
      </c>
      <c r="D9">
        <v>57</v>
      </c>
      <c r="E9">
        <v>24</v>
      </c>
      <c r="F9">
        <v>24</v>
      </c>
    </row>
    <row r="10" spans="2:7" ht="12.75">
      <c r="B10">
        <v>3048</v>
      </c>
      <c r="C10">
        <v>30</v>
      </c>
      <c r="D10">
        <v>140</v>
      </c>
      <c r="E10">
        <v>48</v>
      </c>
      <c r="F10">
        <v>24</v>
      </c>
      <c r="G10">
        <v>422</v>
      </c>
    </row>
    <row r="11" spans="2:6" ht="12.75">
      <c r="B11">
        <v>6048</v>
      </c>
      <c r="C11">
        <v>60</v>
      </c>
      <c r="D11">
        <v>140</v>
      </c>
      <c r="E11">
        <v>48</v>
      </c>
      <c r="F11">
        <v>24</v>
      </c>
    </row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spans="1:4" ht="17.25">
      <c r="A1" t="s">
        <v>754</v>
      </c>
      <c r="B1" s="54"/>
      <c r="D1" s="122"/>
    </row>
    <row r="2" spans="2:4" ht="17.25">
      <c r="B2" s="54"/>
      <c r="D2" s="122" t="s">
        <v>755</v>
      </c>
    </row>
    <row r="3" ht="12.75">
      <c r="B3" s="54"/>
    </row>
    <row r="4" spans="2:7" ht="12.75">
      <c r="B4" s="124" t="s">
        <v>756</v>
      </c>
      <c r="C4" s="82" t="s">
        <v>757</v>
      </c>
      <c r="D4" s="82" t="s">
        <v>758</v>
      </c>
      <c r="E4" s="82" t="s">
        <v>759</v>
      </c>
      <c r="F4" s="82" t="s">
        <v>760</v>
      </c>
      <c r="G4" s="82" t="s">
        <v>761</v>
      </c>
    </row>
    <row r="5" ht="12.75"/>
    <row r="6" spans="1:8" ht="12.75">
      <c r="A6" s="82" t="s">
        <v>762</v>
      </c>
      <c r="B6" s="54" t="s">
        <v>763</v>
      </c>
      <c r="C6">
        <v>130</v>
      </c>
      <c r="D6">
        <v>3.95</v>
      </c>
      <c r="E6">
        <v>33</v>
      </c>
      <c r="F6" s="116">
        <f>C6*3.3</f>
        <v>0</v>
      </c>
      <c r="G6" s="135">
        <f>(F6/C6)</f>
        <v>0</v>
      </c>
      <c r="H6" s="135"/>
    </row>
    <row r="7" spans="2:11" ht="12.75">
      <c r="B7" s="54" t="s">
        <v>764</v>
      </c>
      <c r="C7">
        <v>140</v>
      </c>
      <c r="D7">
        <v>4.25</v>
      </c>
      <c r="E7">
        <v>34</v>
      </c>
      <c r="F7" s="116">
        <f>C7*3.5</f>
        <v>0</v>
      </c>
      <c r="G7" s="135">
        <f>(F7/C7)</f>
        <v>0</v>
      </c>
      <c r="H7" s="135"/>
      <c r="K7">
        <v>590</v>
      </c>
    </row>
    <row r="8" spans="1:7" ht="12.75">
      <c r="A8" s="82"/>
      <c r="B8" s="54" t="s">
        <v>765</v>
      </c>
      <c r="C8">
        <v>75</v>
      </c>
      <c r="D8">
        <v>4.4</v>
      </c>
      <c r="E8">
        <v>17</v>
      </c>
      <c r="F8" s="116">
        <f>C8*3.5</f>
        <v>0</v>
      </c>
      <c r="G8" s="135">
        <f>(F8/C8)</f>
        <v>0</v>
      </c>
    </row>
    <row r="9" spans="1:7" ht="12.75">
      <c r="A9" s="82"/>
      <c r="B9" s="54" t="s">
        <v>766</v>
      </c>
      <c r="C9">
        <v>70</v>
      </c>
      <c r="D9">
        <v>4.25</v>
      </c>
      <c r="E9">
        <v>16.5</v>
      </c>
      <c r="F9" s="116">
        <f>C9*3.5</f>
        <v>0</v>
      </c>
      <c r="G9" s="135">
        <f>(F9/C9)</f>
        <v>0</v>
      </c>
    </row>
    <row r="10" spans="1:7" ht="12.75">
      <c r="A10" s="82"/>
      <c r="B10" s="54" t="s">
        <v>767</v>
      </c>
      <c r="C10">
        <v>65</v>
      </c>
      <c r="E10">
        <v>17</v>
      </c>
      <c r="F10" s="116">
        <f>C10*3.3</f>
        <v>0</v>
      </c>
      <c r="G10" s="135">
        <f>(F10/C10)</f>
        <v>0</v>
      </c>
    </row>
    <row r="11" ht="12.75"/>
    <row r="12" spans="1:8" ht="12.75">
      <c r="A12" s="82" t="s">
        <v>768</v>
      </c>
      <c r="B12" s="54" t="s">
        <v>769</v>
      </c>
      <c r="C12">
        <v>50</v>
      </c>
      <c r="D12">
        <v>2.95</v>
      </c>
      <c r="E12">
        <v>17</v>
      </c>
      <c r="F12" s="116">
        <v>329</v>
      </c>
      <c r="G12" s="135">
        <f>(F12/C12)</f>
        <v>0</v>
      </c>
      <c r="H12" s="145" t="s">
        <v>770</v>
      </c>
    </row>
    <row r="13" spans="1:8" ht="12.75">
      <c r="A13" s="82"/>
      <c r="B13" s="54" t="s">
        <v>771</v>
      </c>
      <c r="C13">
        <v>55</v>
      </c>
      <c r="D13">
        <v>3.15</v>
      </c>
      <c r="E13">
        <v>17.4</v>
      </c>
      <c r="F13" s="116">
        <v>379</v>
      </c>
      <c r="G13" s="135">
        <f>(F13/C13)</f>
        <v>0</v>
      </c>
      <c r="H13" s="145" t="s">
        <v>772</v>
      </c>
    </row>
    <row r="14" spans="1:8" ht="12.75">
      <c r="A14" s="82"/>
      <c r="B14" s="54">
        <v>11106</v>
      </c>
      <c r="C14">
        <v>75</v>
      </c>
      <c r="D14">
        <v>4.4</v>
      </c>
      <c r="E14">
        <v>17</v>
      </c>
      <c r="F14" s="116">
        <v>495</v>
      </c>
      <c r="G14" s="135">
        <f>(F14/C14)</f>
        <v>0</v>
      </c>
      <c r="H14" s="145" t="s">
        <v>773</v>
      </c>
    </row>
    <row r="15" spans="1:13" ht="12.75">
      <c r="A15" s="146"/>
      <c r="B15" s="147">
        <v>11577</v>
      </c>
      <c r="C15" s="148">
        <v>110</v>
      </c>
      <c r="D15" s="148">
        <v>3.15</v>
      </c>
      <c r="E15" s="148">
        <v>35</v>
      </c>
      <c r="F15" s="149">
        <v>639</v>
      </c>
      <c r="G15" s="150">
        <f>(F15/C15)</f>
        <v>0</v>
      </c>
      <c r="H15" s="151" t="s">
        <v>774</v>
      </c>
      <c r="I15" s="148"/>
      <c r="J15" s="148"/>
      <c r="K15" s="148"/>
      <c r="L15" s="148"/>
      <c r="M15" s="148"/>
    </row>
    <row r="16" spans="1:13" ht="12.75">
      <c r="A16" s="146"/>
      <c r="B16" s="147">
        <v>11575</v>
      </c>
      <c r="C16" s="148">
        <v>130</v>
      </c>
      <c r="D16" s="148">
        <v>3.95</v>
      </c>
      <c r="E16" s="148">
        <v>33</v>
      </c>
      <c r="F16" s="149">
        <v>739</v>
      </c>
      <c r="G16" s="152">
        <f>(F16/C16)</f>
        <v>0</v>
      </c>
      <c r="H16" s="151" t="s">
        <v>775</v>
      </c>
      <c r="I16" s="148">
        <v>63.76</v>
      </c>
      <c r="J16" s="148">
        <v>32.05</v>
      </c>
      <c r="K16" s="148">
        <v>1.57</v>
      </c>
      <c r="L16" s="148"/>
      <c r="M16" s="148"/>
    </row>
    <row r="17" spans="1:13" ht="12.75">
      <c r="A17" s="146"/>
      <c r="B17" s="147" t="s">
        <v>776</v>
      </c>
      <c r="C17" s="148">
        <v>140</v>
      </c>
      <c r="D17" s="148">
        <v>4.25</v>
      </c>
      <c r="E17" s="148">
        <v>34</v>
      </c>
      <c r="F17" s="149">
        <v>849</v>
      </c>
      <c r="G17" s="150">
        <f>(F17/C17)</f>
        <v>0</v>
      </c>
      <c r="H17" s="151" t="s">
        <v>777</v>
      </c>
      <c r="I17" s="148"/>
      <c r="J17" s="148"/>
      <c r="K17" s="148"/>
      <c r="L17" s="148"/>
      <c r="M17" s="148"/>
    </row>
    <row r="18" spans="1:13" ht="12.75">
      <c r="A18" s="146"/>
      <c r="B18" s="147">
        <v>11576</v>
      </c>
      <c r="C18" s="148">
        <v>150</v>
      </c>
      <c r="D18" s="148">
        <v>4.4</v>
      </c>
      <c r="E18" s="148">
        <v>34</v>
      </c>
      <c r="F18" s="149">
        <v>869</v>
      </c>
      <c r="G18" s="150">
        <f>(F18/C18)</f>
        <v>0</v>
      </c>
      <c r="H18" s="151" t="s">
        <v>778</v>
      </c>
      <c r="I18" s="148">
        <v>63.76</v>
      </c>
      <c r="J18" s="148">
        <v>32.05</v>
      </c>
      <c r="K18" s="148">
        <v>1.57</v>
      </c>
      <c r="L18" s="148"/>
      <c r="M18" s="148"/>
    </row>
    <row r="19" spans="1:8" ht="12.75">
      <c r="A19" s="82"/>
      <c r="B19" s="54"/>
      <c r="F19" s="116"/>
      <c r="G19" s="135"/>
      <c r="H19" s="145"/>
    </row>
    <row r="20" spans="1:8" ht="12.75">
      <c r="A20" s="82" t="s">
        <v>779</v>
      </c>
      <c r="B20" s="54">
        <v>11234</v>
      </c>
      <c r="C20">
        <v>5</v>
      </c>
      <c r="D20">
        <v>0.30000000000000004</v>
      </c>
      <c r="E20">
        <v>16.5</v>
      </c>
      <c r="F20" s="116">
        <v>109</v>
      </c>
      <c r="G20" s="135">
        <f>(F20/C20)</f>
        <v>0</v>
      </c>
      <c r="H20" t="s">
        <v>780</v>
      </c>
    </row>
    <row r="21" spans="2:7" ht="12.75">
      <c r="B21" s="54">
        <v>11227</v>
      </c>
      <c r="C21">
        <v>32</v>
      </c>
      <c r="D21">
        <v>1.94</v>
      </c>
      <c r="E21">
        <v>16.5</v>
      </c>
      <c r="F21" s="116">
        <v>239</v>
      </c>
      <c r="G21" s="135">
        <f>(F21/C21)</f>
        <v>0</v>
      </c>
    </row>
    <row r="22" spans="2:8" ht="12.75">
      <c r="B22" s="54">
        <v>11235</v>
      </c>
      <c r="C22">
        <v>32</v>
      </c>
      <c r="D22">
        <v>1.94</v>
      </c>
      <c r="E22">
        <v>16.5</v>
      </c>
      <c r="F22" s="116">
        <v>395</v>
      </c>
      <c r="G22" s="135">
        <f>(F22/C22)</f>
        <v>0</v>
      </c>
      <c r="H22" t="s">
        <v>781</v>
      </c>
    </row>
    <row r="23" spans="2:7" ht="12.75">
      <c r="B23" s="54">
        <v>11233</v>
      </c>
      <c r="C23">
        <v>42</v>
      </c>
      <c r="D23">
        <v>2.54</v>
      </c>
      <c r="E23">
        <v>16.5</v>
      </c>
      <c r="F23" s="116">
        <v>289</v>
      </c>
      <c r="G23" s="135">
        <f>(F23/C23)</f>
        <v>0</v>
      </c>
    </row>
    <row r="24" spans="2:7" ht="12.75">
      <c r="B24" s="54">
        <v>11228</v>
      </c>
      <c r="C24">
        <v>64</v>
      </c>
      <c r="D24" s="79">
        <v>3.88</v>
      </c>
      <c r="E24">
        <v>16.5</v>
      </c>
      <c r="F24" s="116">
        <v>419</v>
      </c>
      <c r="G24" s="126">
        <f>(F24/C24)</f>
        <v>0</v>
      </c>
    </row>
    <row r="25" spans="2:7" ht="12.75">
      <c r="B25" s="54"/>
      <c r="F25" s="116"/>
      <c r="G25" s="135"/>
    </row>
    <row r="26" spans="1:7" ht="12.75">
      <c r="A26" s="82" t="s">
        <v>782</v>
      </c>
      <c r="B26" s="54">
        <v>11582</v>
      </c>
      <c r="C26">
        <v>55</v>
      </c>
      <c r="D26">
        <v>3.42</v>
      </c>
      <c r="E26">
        <v>16.1</v>
      </c>
      <c r="F26" s="116">
        <v>299</v>
      </c>
      <c r="G26" s="135">
        <f>(F26/C26)</f>
        <v>0</v>
      </c>
    </row>
    <row r="27" spans="1:7" ht="12.75">
      <c r="A27" s="82"/>
      <c r="B27" s="54">
        <v>11581</v>
      </c>
      <c r="C27">
        <v>110</v>
      </c>
      <c r="D27">
        <v>6.84</v>
      </c>
      <c r="E27">
        <v>16.1</v>
      </c>
      <c r="F27" s="116">
        <v>559</v>
      </c>
      <c r="G27" s="126">
        <f>(F27/C27)</f>
        <v>0</v>
      </c>
    </row>
    <row r="28" ht="12.75">
      <c r="G28" s="79"/>
    </row>
    <row r="29" spans="1:7" ht="12.75">
      <c r="A29" s="82" t="s">
        <v>783</v>
      </c>
      <c r="B29" s="54">
        <v>11567</v>
      </c>
      <c r="C29">
        <v>80</v>
      </c>
      <c r="D29" s="79">
        <v>4.73</v>
      </c>
      <c r="E29">
        <v>16.9</v>
      </c>
      <c r="F29" s="116">
        <v>465</v>
      </c>
      <c r="G29" s="153">
        <f>(F29/C29)</f>
        <v>0</v>
      </c>
    </row>
    <row r="30" spans="1:11" ht="12.75">
      <c r="A30" s="82"/>
      <c r="B30" s="54">
        <v>11568</v>
      </c>
      <c r="C30">
        <v>120</v>
      </c>
      <c r="D30" s="79">
        <v>7.1</v>
      </c>
      <c r="E30">
        <v>16.9</v>
      </c>
      <c r="F30" s="116">
        <v>685</v>
      </c>
      <c r="G30" s="126">
        <f>(F30/C30)</f>
        <v>0</v>
      </c>
      <c r="I30">
        <v>56.1</v>
      </c>
      <c r="J30">
        <v>25.7</v>
      </c>
      <c r="K30">
        <v>2</v>
      </c>
    </row>
    <row r="31" spans="1:7" ht="12.75">
      <c r="A31" s="82"/>
      <c r="F31" s="116"/>
      <c r="G31" s="153"/>
    </row>
    <row r="32" spans="1:7" ht="12.75">
      <c r="A32" s="82" t="s">
        <v>784</v>
      </c>
      <c r="B32" s="54">
        <v>11165</v>
      </c>
      <c r="C32">
        <v>75</v>
      </c>
      <c r="D32" s="79">
        <v>4.4</v>
      </c>
      <c r="E32">
        <v>17</v>
      </c>
      <c r="F32" s="116">
        <v>419</v>
      </c>
      <c r="G32" s="153">
        <f>(F32/C32)</f>
        <v>0</v>
      </c>
    </row>
    <row r="33" spans="1:7" ht="12.75">
      <c r="A33" s="82"/>
      <c r="B33" s="54" t="s">
        <v>785</v>
      </c>
      <c r="C33">
        <v>120</v>
      </c>
      <c r="D33" s="79">
        <v>7.1</v>
      </c>
      <c r="E33">
        <v>16.9</v>
      </c>
      <c r="F33" s="116">
        <v>649</v>
      </c>
      <c r="G33" s="126">
        <f>(F33/C33)</f>
        <v>0</v>
      </c>
    </row>
    <row r="34" ht="12.75">
      <c r="A34" s="82"/>
    </row>
    <row r="35" spans="1:7" ht="13.5">
      <c r="A35" s="82"/>
      <c r="D35" s="91" t="s">
        <v>786</v>
      </c>
      <c r="F35" s="116"/>
      <c r="G35" s="126"/>
    </row>
    <row r="36" spans="1:7" ht="12.75">
      <c r="A36" s="82"/>
      <c r="F36" s="116"/>
      <c r="G36" s="126"/>
    </row>
    <row r="37" spans="1:13" ht="12.75">
      <c r="A37" s="146" t="s">
        <v>787</v>
      </c>
      <c r="B37" s="148" t="s">
        <v>788</v>
      </c>
      <c r="C37" s="148">
        <v>175</v>
      </c>
      <c r="D37" s="148">
        <v>4.95</v>
      </c>
      <c r="E37" s="148">
        <v>35.4</v>
      </c>
      <c r="F37" s="149">
        <v>635</v>
      </c>
      <c r="G37" s="152">
        <f>(F37/C37)</f>
        <v>0</v>
      </c>
      <c r="H37" s="148"/>
      <c r="I37" s="148">
        <v>62.05</v>
      </c>
      <c r="J37" s="148">
        <v>32.44</v>
      </c>
      <c r="K37" s="148">
        <v>1.812</v>
      </c>
      <c r="L37" s="148"/>
      <c r="M37" s="148"/>
    </row>
    <row r="38" spans="1:13" ht="12.75">
      <c r="A38" s="146"/>
      <c r="B38" s="148" t="s">
        <v>789</v>
      </c>
      <c r="C38" s="148">
        <v>165</v>
      </c>
      <c r="D38" s="148">
        <v>4.77</v>
      </c>
      <c r="E38" s="148">
        <v>34.6</v>
      </c>
      <c r="F38" s="149">
        <v>608</v>
      </c>
      <c r="G38" s="152">
        <f>(F38/C38)</f>
        <v>0</v>
      </c>
      <c r="H38" s="148"/>
      <c r="I38" s="148">
        <v>62.05</v>
      </c>
      <c r="J38" s="148">
        <v>32.44</v>
      </c>
      <c r="K38" s="148">
        <v>1.812</v>
      </c>
      <c r="L38" s="148"/>
      <c r="M38" s="148"/>
    </row>
    <row r="39" spans="1:11" ht="12.75">
      <c r="A39" s="82"/>
      <c r="B39" t="s">
        <v>790</v>
      </c>
      <c r="C39">
        <v>123</v>
      </c>
      <c r="D39">
        <v>7.16</v>
      </c>
      <c r="E39">
        <v>17.2</v>
      </c>
      <c r="F39" s="116">
        <v>479</v>
      </c>
      <c r="G39" s="126">
        <f>(F39/C39)</f>
        <v>0</v>
      </c>
      <c r="I39">
        <v>62.05</v>
      </c>
      <c r="J39">
        <v>32.44</v>
      </c>
      <c r="K39">
        <v>1.812</v>
      </c>
    </row>
    <row r="40" ht="12.75">
      <c r="A40" s="82"/>
    </row>
    <row r="41" spans="1:7" ht="12.75">
      <c r="A41" s="82" t="s">
        <v>791</v>
      </c>
      <c r="B41" t="s">
        <v>792</v>
      </c>
      <c r="C41">
        <v>120</v>
      </c>
      <c r="D41">
        <v>7.1</v>
      </c>
      <c r="E41">
        <v>16.9</v>
      </c>
      <c r="F41" s="116">
        <v>449</v>
      </c>
      <c r="G41" s="126">
        <f>(F41/C41)</f>
        <v>0</v>
      </c>
    </row>
    <row r="42" spans="1:13" ht="12.75">
      <c r="A42" s="146"/>
      <c r="B42" s="148" t="s">
        <v>793</v>
      </c>
      <c r="C42" s="148">
        <v>140</v>
      </c>
      <c r="D42" s="148">
        <v>4.25</v>
      </c>
      <c r="E42" s="148">
        <v>33</v>
      </c>
      <c r="F42" s="149">
        <v>554</v>
      </c>
      <c r="G42" s="152">
        <f>(F42/C42)</f>
        <v>0</v>
      </c>
      <c r="H42" s="148"/>
      <c r="I42" s="148">
        <v>56.1</v>
      </c>
      <c r="J42" s="148">
        <v>25.7</v>
      </c>
      <c r="K42" s="148">
        <v>1.4</v>
      </c>
      <c r="L42" s="148"/>
      <c r="M42" s="148"/>
    </row>
    <row r="43" spans="1:7" ht="12.75">
      <c r="A43" s="82"/>
      <c r="F43" s="116"/>
      <c r="G43" s="126"/>
    </row>
    <row r="44" spans="1:13" ht="12.75">
      <c r="A44" s="146" t="s">
        <v>794</v>
      </c>
      <c r="B44" s="148" t="s">
        <v>795</v>
      </c>
      <c r="C44" s="148">
        <v>150</v>
      </c>
      <c r="D44" s="148">
        <v>4.45</v>
      </c>
      <c r="E44" s="148">
        <v>34</v>
      </c>
      <c r="F44" s="149">
        <v>554</v>
      </c>
      <c r="G44" s="152">
        <f>(F44/C44)</f>
        <v>0</v>
      </c>
      <c r="H44" s="148"/>
      <c r="I44" s="148">
        <v>62.5</v>
      </c>
      <c r="J44" s="148">
        <v>31.1</v>
      </c>
      <c r="K44" s="148">
        <v>1.06</v>
      </c>
      <c r="L44" s="148"/>
      <c r="M44" s="148"/>
    </row>
    <row r="45" ht="12.75"/>
    <row r="46" ht="13.5">
      <c r="D46" s="91" t="s">
        <v>796</v>
      </c>
    </row>
    <row r="47" ht="12.75"/>
    <row r="48" spans="1:13" ht="12.75">
      <c r="A48" s="146" t="s">
        <v>797</v>
      </c>
      <c r="B48" s="148" t="s">
        <v>798</v>
      </c>
      <c r="C48" s="148">
        <v>150</v>
      </c>
      <c r="D48" s="148">
        <v>4.4</v>
      </c>
      <c r="E48" s="148">
        <v>34</v>
      </c>
      <c r="F48" s="149">
        <v>600</v>
      </c>
      <c r="G48" s="152">
        <f>(F48/C48)</f>
        <v>0</v>
      </c>
      <c r="H48" s="148"/>
      <c r="I48" s="148"/>
      <c r="J48" s="148"/>
      <c r="K48" s="148"/>
      <c r="L48" s="148"/>
      <c r="M48" s="148"/>
    </row>
    <row r="49" spans="1:13" ht="12.75">
      <c r="A49" s="146" t="s">
        <v>799</v>
      </c>
      <c r="B49" s="148" t="s">
        <v>800</v>
      </c>
      <c r="C49" s="148">
        <v>150</v>
      </c>
      <c r="D49" s="148">
        <v>4.45</v>
      </c>
      <c r="E49" s="148">
        <v>34</v>
      </c>
      <c r="F49" s="149">
        <v>600</v>
      </c>
      <c r="G49" s="152">
        <f>(F49/C49)</f>
        <v>0</v>
      </c>
      <c r="H49" s="148"/>
      <c r="I49" s="148"/>
      <c r="J49" s="148"/>
      <c r="K49" s="148"/>
      <c r="L49" s="148"/>
      <c r="M49" s="148"/>
    </row>
    <row r="50" ht="12.75">
      <c r="A50" s="82"/>
    </row>
    <row r="51" spans="1:4" ht="12.75">
      <c r="A51" s="82"/>
      <c r="D51" s="82" t="s">
        <v>801</v>
      </c>
    </row>
    <row r="52" spans="1:13" ht="12.75">
      <c r="A52" s="146" t="s">
        <v>802</v>
      </c>
      <c r="B52" s="148" t="s">
        <v>803</v>
      </c>
      <c r="C52" s="148">
        <v>150</v>
      </c>
      <c r="D52" s="148">
        <v>4.45</v>
      </c>
      <c r="E52" s="148">
        <v>34</v>
      </c>
      <c r="F52" s="149">
        <v>532</v>
      </c>
      <c r="G52" s="152">
        <f>(F52/C52)</f>
        <v>0</v>
      </c>
      <c r="H52" s="148"/>
      <c r="I52" s="148"/>
      <c r="J52" s="148"/>
      <c r="K52" s="148"/>
      <c r="L52" s="148"/>
      <c r="M52" s="148"/>
    </row>
    <row r="53" ht="12.75">
      <c r="A53" s="82"/>
    </row>
    <row r="54" spans="1:4" ht="12.75">
      <c r="A54" s="82"/>
      <c r="D54" s="82" t="s">
        <v>804</v>
      </c>
    </row>
    <row r="55" spans="1:13" ht="12.75">
      <c r="A55" s="146" t="s">
        <v>805</v>
      </c>
      <c r="B55" s="148" t="s">
        <v>806</v>
      </c>
      <c r="C55" s="148">
        <v>165</v>
      </c>
      <c r="D55" s="148">
        <v>4.77</v>
      </c>
      <c r="E55" s="148">
        <v>34.6</v>
      </c>
      <c r="F55" s="149">
        <v>651.75</v>
      </c>
      <c r="G55" s="152">
        <f>(F55/C55)</f>
        <v>0</v>
      </c>
      <c r="H55" s="148"/>
      <c r="I55" s="148"/>
      <c r="J55" s="148"/>
      <c r="K55" s="148"/>
      <c r="L55" s="148"/>
      <c r="M55" s="148"/>
    </row>
    <row r="56" spans="1:7" ht="12.75">
      <c r="A56" s="82"/>
      <c r="B56" t="s">
        <v>807</v>
      </c>
      <c r="C56">
        <v>123</v>
      </c>
      <c r="D56">
        <v>7.16</v>
      </c>
      <c r="E56">
        <v>17.2</v>
      </c>
      <c r="F56" s="116">
        <v>485.85</v>
      </c>
      <c r="G56" s="126">
        <f>(F56/C56)</f>
        <v>0</v>
      </c>
    </row>
    <row r="57" spans="1:5" ht="12.75">
      <c r="A57" s="82"/>
      <c r="B57" s="82"/>
      <c r="C57" s="82"/>
      <c r="D57" s="82"/>
      <c r="E57" s="99"/>
    </row>
    <row r="58" spans="2:4" ht="12.75">
      <c r="B58" s="82"/>
      <c r="C58" s="82"/>
      <c r="D58" s="99" t="s">
        <v>808</v>
      </c>
    </row>
    <row r="59" spans="1:11" ht="12.75">
      <c r="A59" s="82" t="s">
        <v>809</v>
      </c>
      <c r="B59" t="s">
        <v>810</v>
      </c>
      <c r="C59">
        <v>158</v>
      </c>
      <c r="D59">
        <v>6.82</v>
      </c>
      <c r="E59">
        <v>23.2</v>
      </c>
      <c r="F59" s="116">
        <v>615</v>
      </c>
      <c r="G59" s="126">
        <f>(F59/C59)</f>
        <v>0</v>
      </c>
      <c r="I59">
        <v>51</v>
      </c>
      <c r="J59">
        <v>39</v>
      </c>
      <c r="K59">
        <v>1.4</v>
      </c>
    </row>
  </sheetData>
  <hyperlinks>
    <hyperlink ref="D35" r:id="rId1" display="http://www.earthsolar.com/"/>
    <hyperlink ref="D46" r:id="rId2" display="http://www.cheapestsolar.com"/>
  </hyperlinks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B24" sqref="B24"/>
    </sheetView>
  </sheetViews>
  <sheetFormatPr defaultColWidth="11.421875" defaultRowHeight="12.75"/>
  <cols>
    <col min="1" max="256" width="11.28125" style="0" customWidth="1"/>
  </cols>
  <sheetData>
    <row r="1" ht="12.75">
      <c r="A1" t="s">
        <v>811</v>
      </c>
    </row>
    <row r="2" ht="12.75"/>
    <row r="3" ht="12.75">
      <c r="A3" t="s">
        <v>812</v>
      </c>
    </row>
    <row r="4" ht="12.75">
      <c r="A4" t="s">
        <v>813</v>
      </c>
    </row>
    <row r="5" ht="12.75">
      <c r="A5" t="s">
        <v>814</v>
      </c>
    </row>
    <row r="6" ht="12.75"/>
    <row r="7" ht="12.75">
      <c r="A7" t="s">
        <v>815</v>
      </c>
    </row>
    <row r="8" ht="12.75"/>
    <row r="9" ht="12.75">
      <c r="A9" t="s">
        <v>816</v>
      </c>
    </row>
    <row r="10" ht="12.75">
      <c r="A10" t="s">
        <v>817</v>
      </c>
    </row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3">
      <selection activeCell="B23" sqref="B23"/>
    </sheetView>
  </sheetViews>
  <sheetFormatPr defaultColWidth="11.421875" defaultRowHeight="12.75"/>
  <cols>
    <col min="1" max="1" width="11.28125" style="0" customWidth="1"/>
    <col min="2" max="2" width="26.00390625" style="0" customWidth="1"/>
    <col min="3" max="256" width="11.28125" style="0" customWidth="1"/>
  </cols>
  <sheetData>
    <row r="1" spans="3:4" ht="22.5">
      <c r="C1" s="77" t="s">
        <v>191</v>
      </c>
      <c r="D1" s="78"/>
    </row>
    <row r="2" ht="12.75">
      <c r="B2" s="79"/>
    </row>
    <row r="3" ht="12.75"/>
    <row r="4" spans="3:10" ht="17.25">
      <c r="C4" s="80" t="s">
        <v>192</v>
      </c>
      <c r="D4" s="80"/>
      <c r="E4" s="80"/>
      <c r="I4" s="81" t="s">
        <v>193</v>
      </c>
      <c r="J4" s="80"/>
    </row>
    <row r="5" ht="12.75"/>
    <row r="6" spans="1:13" ht="12.75">
      <c r="A6" s="82" t="s">
        <v>194</v>
      </c>
      <c r="B6" s="83" t="s">
        <v>195</v>
      </c>
      <c r="C6" s="84" t="s">
        <v>196</v>
      </c>
      <c r="D6" s="83" t="s">
        <v>197</v>
      </c>
      <c r="E6" s="83" t="s">
        <v>198</v>
      </c>
      <c r="F6" s="84" t="s">
        <v>199</v>
      </c>
      <c r="G6" s="85" t="s">
        <v>200</v>
      </c>
      <c r="H6" s="85" t="s">
        <v>201</v>
      </c>
      <c r="I6" s="85" t="s">
        <v>202</v>
      </c>
      <c r="J6" s="85" t="s">
        <v>203</v>
      </c>
      <c r="K6" s="84" t="s">
        <v>204</v>
      </c>
      <c r="L6" s="85" t="s">
        <v>205</v>
      </c>
      <c r="M6" s="85" t="s">
        <v>206</v>
      </c>
    </row>
    <row r="7" spans="1:13" ht="12.75">
      <c r="A7" s="82" t="s">
        <v>207</v>
      </c>
      <c r="C7" s="86" t="s">
        <v>208</v>
      </c>
      <c r="F7" s="86" t="s">
        <v>209</v>
      </c>
      <c r="G7" s="86" t="s">
        <v>210</v>
      </c>
      <c r="H7" s="86" t="s">
        <v>211</v>
      </c>
      <c r="I7" s="86" t="s">
        <v>212</v>
      </c>
      <c r="J7" s="86"/>
      <c r="K7" s="86" t="s">
        <v>213</v>
      </c>
      <c r="L7" s="86" t="s">
        <v>214</v>
      </c>
      <c r="M7" s="86" t="s">
        <v>215</v>
      </c>
    </row>
    <row r="8" spans="2:13" ht="12.75">
      <c r="B8" t="s">
        <v>216</v>
      </c>
      <c r="C8" s="87" t="s">
        <v>217</v>
      </c>
      <c r="D8" s="88">
        <v>24</v>
      </c>
      <c r="E8" s="88">
        <v>2</v>
      </c>
      <c r="F8" s="88">
        <v>6</v>
      </c>
      <c r="G8" s="88">
        <v>3</v>
      </c>
      <c r="H8" s="89">
        <f>IF(C8="Y",(($D8*E8*F8*G8)/7),0)</f>
        <v>0</v>
      </c>
      <c r="I8" s="87" t="s">
        <v>218</v>
      </c>
      <c r="J8" s="88">
        <v>1</v>
      </c>
      <c r="K8" s="88">
        <v>2</v>
      </c>
      <c r="L8" s="88">
        <v>5</v>
      </c>
      <c r="M8" s="89">
        <f>IF(I8="Y",(($D8*J8*K8*L8)/7),0)</f>
        <v>0</v>
      </c>
    </row>
    <row r="9" spans="2:13" ht="12.75">
      <c r="B9" t="s">
        <v>219</v>
      </c>
      <c r="C9" s="87" t="s">
        <v>220</v>
      </c>
      <c r="D9" s="88">
        <v>200</v>
      </c>
      <c r="E9" s="88">
        <v>1</v>
      </c>
      <c r="F9" s="90">
        <f>15/60</f>
        <v>0</v>
      </c>
      <c r="G9" s="88">
        <v>7</v>
      </c>
      <c r="H9" s="89">
        <f>IF(C9="Y",(($D9*E9*F9*G9)/7),0)</f>
        <v>0</v>
      </c>
      <c r="I9" s="87" t="s">
        <v>221</v>
      </c>
      <c r="J9" s="88">
        <v>1</v>
      </c>
      <c r="K9" s="90">
        <f>15/60</f>
        <v>0</v>
      </c>
      <c r="L9" s="88">
        <v>3</v>
      </c>
      <c r="M9" s="89">
        <f>IF(I9="Y",(($D9*J9*K9*L9)/7),0)</f>
        <v>0</v>
      </c>
    </row>
    <row r="10" spans="2:13" ht="12.75">
      <c r="B10" t="s">
        <v>222</v>
      </c>
      <c r="C10" s="87" t="s">
        <v>223</v>
      </c>
      <c r="D10" s="88">
        <v>30</v>
      </c>
      <c r="E10" s="88">
        <v>1</v>
      </c>
      <c r="F10" s="88">
        <v>8</v>
      </c>
      <c r="G10" s="88">
        <v>6</v>
      </c>
      <c r="H10" s="89">
        <f>IF(C10="Y",(($D10*E10*F10*G10)/7),0)</f>
        <v>0</v>
      </c>
      <c r="I10" s="87" t="s">
        <v>224</v>
      </c>
      <c r="J10" s="88">
        <v>1</v>
      </c>
      <c r="K10" s="88">
        <v>8</v>
      </c>
      <c r="L10" s="88">
        <v>7</v>
      </c>
      <c r="M10" s="89">
        <f>IF(I10="Y",(($D10*J10*K10*L10)/7),0)</f>
        <v>0</v>
      </c>
    </row>
    <row r="11" spans="2:13" ht="12.75">
      <c r="B11" t="s">
        <v>225</v>
      </c>
      <c r="C11" s="87" t="s">
        <v>226</v>
      </c>
      <c r="D11" s="88">
        <v>20</v>
      </c>
      <c r="E11" s="88">
        <v>1</v>
      </c>
      <c r="F11" s="88">
        <v>1</v>
      </c>
      <c r="G11" s="88">
        <v>3</v>
      </c>
      <c r="H11" s="89">
        <f>IF(C11="Y",(($D11*E11*F11*G11)/7),0)</f>
        <v>0</v>
      </c>
      <c r="I11" s="87" t="s">
        <v>227</v>
      </c>
      <c r="J11" s="88">
        <v>1</v>
      </c>
      <c r="K11" s="88">
        <v>6</v>
      </c>
      <c r="L11" s="88">
        <v>7</v>
      </c>
      <c r="M11" s="89">
        <f>IF(I11="Y",(($D11*J11*K11*L11)/7),0)</f>
        <v>0</v>
      </c>
    </row>
    <row r="12" spans="2:13" ht="12.75">
      <c r="B12" t="s">
        <v>228</v>
      </c>
      <c r="C12" s="87" t="s">
        <v>229</v>
      </c>
      <c r="D12" s="88">
        <v>34</v>
      </c>
      <c r="E12" s="88">
        <v>1</v>
      </c>
      <c r="F12" s="88">
        <v>6</v>
      </c>
      <c r="G12" s="88">
        <v>7</v>
      </c>
      <c r="H12" s="89">
        <f>IF(C12="Y",(($D12*E12*F12*G12)/7),0)</f>
        <v>0</v>
      </c>
      <c r="I12" s="87" t="s">
        <v>230</v>
      </c>
      <c r="J12" s="88">
        <v>1</v>
      </c>
      <c r="K12" s="88">
        <v>6</v>
      </c>
      <c r="L12" s="88">
        <v>7</v>
      </c>
      <c r="M12" s="89">
        <f>IF(I12="Y",(($D12*J12*K12*L12)/7),0)</f>
        <v>0</v>
      </c>
    </row>
    <row r="13" spans="2:13" ht="12.75">
      <c r="B13" t="s">
        <v>231</v>
      </c>
      <c r="C13" s="87" t="s">
        <v>232</v>
      </c>
      <c r="D13" s="88">
        <v>103</v>
      </c>
      <c r="E13" s="88">
        <v>1</v>
      </c>
      <c r="F13" s="88">
        <v>2</v>
      </c>
      <c r="G13" s="88">
        <v>7</v>
      </c>
      <c r="H13" s="89">
        <f>IF(C13="Y",(($D13*E13*F13*G13)/7),0)</f>
        <v>0</v>
      </c>
      <c r="I13" s="87" t="s">
        <v>233</v>
      </c>
      <c r="J13" s="88">
        <v>1</v>
      </c>
      <c r="K13" s="88">
        <v>2</v>
      </c>
      <c r="L13" s="88">
        <v>7</v>
      </c>
      <c r="M13" s="89">
        <f>IF(I13="Y",(($D13*J13*K13*L13)/7),0)</f>
        <v>0</v>
      </c>
    </row>
    <row r="14" spans="2:13" ht="12.75">
      <c r="B14" t="s">
        <v>234</v>
      </c>
      <c r="C14" s="87" t="s">
        <v>235</v>
      </c>
      <c r="D14" s="88">
        <v>83</v>
      </c>
      <c r="E14" s="88">
        <v>1</v>
      </c>
      <c r="F14" s="88">
        <v>2</v>
      </c>
      <c r="G14" s="88">
        <v>7</v>
      </c>
      <c r="H14" s="89">
        <f>IF(C14="Y",(($D14*E14*F14*G14)/7),0)</f>
        <v>0</v>
      </c>
      <c r="I14" s="87" t="s">
        <v>236</v>
      </c>
      <c r="J14" s="88">
        <v>1</v>
      </c>
      <c r="K14" s="88">
        <v>2</v>
      </c>
      <c r="L14" s="88">
        <v>7</v>
      </c>
      <c r="M14" s="89">
        <f>IF(I14="Y",(($D14*J14*K14*L14)/7),0)</f>
        <v>0</v>
      </c>
    </row>
    <row r="15" spans="2:13" ht="12.75">
      <c r="B15" s="91" t="s">
        <v>237</v>
      </c>
      <c r="C15" s="87" t="s">
        <v>238</v>
      </c>
      <c r="D15" s="88">
        <v>73</v>
      </c>
      <c r="E15" s="88">
        <v>1</v>
      </c>
      <c r="F15" s="88">
        <v>2</v>
      </c>
      <c r="G15" s="88">
        <v>7</v>
      </c>
      <c r="H15" s="89">
        <f>IF(C15="Y",(($D15*E15*F15*G15)/7),0)</f>
        <v>0</v>
      </c>
      <c r="I15" s="87" t="s">
        <v>239</v>
      </c>
      <c r="J15" s="88">
        <v>1</v>
      </c>
      <c r="K15" s="88">
        <v>2</v>
      </c>
      <c r="L15" s="88">
        <v>7</v>
      </c>
      <c r="M15" s="89">
        <f>IF(I15="Y",(($D15*J15*K15*L15)/7),0)</f>
        <v>0</v>
      </c>
    </row>
    <row r="16" spans="2:13" ht="12.75">
      <c r="B16" t="s">
        <v>240</v>
      </c>
      <c r="C16" s="87" t="s">
        <v>241</v>
      </c>
      <c r="D16" s="88">
        <v>5.8</v>
      </c>
      <c r="E16" s="88">
        <v>1</v>
      </c>
      <c r="F16" s="88">
        <v>24</v>
      </c>
      <c r="G16" s="88">
        <v>7</v>
      </c>
      <c r="H16" s="89">
        <f>IF(C16="Y",(($D16*E16*F16*G16)/7),0)</f>
        <v>0</v>
      </c>
      <c r="I16" s="87" t="s">
        <v>242</v>
      </c>
      <c r="J16" s="88">
        <v>1</v>
      </c>
      <c r="K16" s="88">
        <v>24</v>
      </c>
      <c r="L16" s="88">
        <v>7</v>
      </c>
      <c r="M16" s="89">
        <f>IF(I16="Y",(($D16*J16*K16*L16)/7),0)</f>
        <v>0</v>
      </c>
    </row>
    <row r="17" spans="2:13" ht="12.75">
      <c r="B17" t="s">
        <v>243</v>
      </c>
      <c r="C17" s="87" t="s">
        <v>244</v>
      </c>
      <c r="D17" s="88">
        <v>8</v>
      </c>
      <c r="E17" s="88">
        <v>1</v>
      </c>
      <c r="F17" s="88">
        <v>24</v>
      </c>
      <c r="G17" s="88">
        <v>7</v>
      </c>
      <c r="H17" s="89">
        <f>IF(C17="Y",(($D17*E17*F17*G17)/7),0)</f>
        <v>0</v>
      </c>
      <c r="I17" s="87" t="s">
        <v>245</v>
      </c>
      <c r="J17" s="88">
        <v>1</v>
      </c>
      <c r="K17" s="88">
        <v>24</v>
      </c>
      <c r="L17" s="88">
        <v>7</v>
      </c>
      <c r="M17" s="89">
        <f>IF(I17="Y",(($D17*J17*K17*L17)/7),0)</f>
        <v>0</v>
      </c>
    </row>
    <row r="18" spans="2:13" ht="12.75">
      <c r="B18" s="91" t="s">
        <v>246</v>
      </c>
      <c r="C18" s="87" t="s">
        <v>247</v>
      </c>
      <c r="D18" s="88" t="s">
        <v>248</v>
      </c>
      <c r="E18" s="88">
        <v>1</v>
      </c>
      <c r="F18" s="88">
        <v>24</v>
      </c>
      <c r="G18" s="88">
        <v>7</v>
      </c>
      <c r="H18" s="89">
        <f>IF(C18="Y",(($D18*E18*F18*G18)/7),0)</f>
        <v>0</v>
      </c>
      <c r="I18" s="87" t="s">
        <v>249</v>
      </c>
      <c r="J18" s="88">
        <v>1</v>
      </c>
      <c r="K18" s="88">
        <v>6</v>
      </c>
      <c r="L18" s="88">
        <v>7</v>
      </c>
      <c r="M18" s="89">
        <f>IF(I18="Y",(($D18*J18*K18*L18)/7),0)</f>
        <v>0</v>
      </c>
    </row>
    <row r="19" spans="2:13" ht="12.75">
      <c r="B19" t="s">
        <v>250</v>
      </c>
      <c r="C19" s="87" t="s">
        <v>251</v>
      </c>
      <c r="D19" s="88" t="s">
        <v>252</v>
      </c>
      <c r="E19" s="88">
        <v>1</v>
      </c>
      <c r="F19" s="88">
        <v>2</v>
      </c>
      <c r="G19" s="88">
        <v>7</v>
      </c>
      <c r="H19" s="89">
        <f>IF(C19="Y",(($D19*E19*F19*G19)/7),0)</f>
        <v>0</v>
      </c>
      <c r="I19" s="87" t="s">
        <v>253</v>
      </c>
      <c r="J19" s="88">
        <v>1</v>
      </c>
      <c r="K19" s="88">
        <v>2</v>
      </c>
      <c r="L19" s="88">
        <v>7</v>
      </c>
      <c r="M19" s="89">
        <f>IF(I19="Y",(($D19*J19*K19*L19)/7),0)</f>
        <v>0</v>
      </c>
    </row>
    <row r="20" spans="2:13" ht="12.75">
      <c r="B20" t="s">
        <v>254</v>
      </c>
      <c r="C20" s="87" t="s">
        <v>255</v>
      </c>
      <c r="D20" s="88">
        <v>53</v>
      </c>
      <c r="E20" s="88">
        <v>1</v>
      </c>
      <c r="F20" s="88">
        <v>2</v>
      </c>
      <c r="G20" s="88">
        <v>7</v>
      </c>
      <c r="H20" s="89">
        <f>IF(C20="Y",(($D20*E20*F20*G20)/7),0)</f>
        <v>0</v>
      </c>
      <c r="I20" s="87" t="s">
        <v>256</v>
      </c>
      <c r="J20" s="88">
        <v>1</v>
      </c>
      <c r="K20" s="88">
        <v>2</v>
      </c>
      <c r="L20" s="88">
        <v>7</v>
      </c>
      <c r="M20" s="89">
        <f>IF(I20="Y",(($D20*J20*K20*L20)/7),0)</f>
        <v>0</v>
      </c>
    </row>
    <row r="21" spans="2:13" ht="12.75">
      <c r="B21" t="s">
        <v>257</v>
      </c>
      <c r="C21" s="87" t="s">
        <v>258</v>
      </c>
      <c r="D21" s="88"/>
      <c r="E21" s="88">
        <v>1</v>
      </c>
      <c r="F21" s="88"/>
      <c r="G21" s="88">
        <v>7</v>
      </c>
      <c r="H21" s="89">
        <f>IF(C21="Y",(($D21*E21*F21*G21)/7),0)</f>
        <v>0</v>
      </c>
      <c r="I21" s="87" t="s">
        <v>259</v>
      </c>
      <c r="J21" s="88">
        <v>1</v>
      </c>
      <c r="K21" s="88"/>
      <c r="L21" s="88">
        <v>7</v>
      </c>
      <c r="M21" s="89">
        <f>IF(I21="Y",(($D21*J21*K21*L21)/7),0)</f>
        <v>0</v>
      </c>
    </row>
    <row r="22" spans="2:13" ht="12.75">
      <c r="B22" t="s">
        <v>260</v>
      </c>
      <c r="C22" s="87" t="s">
        <v>261</v>
      </c>
      <c r="D22" s="88">
        <v>0</v>
      </c>
      <c r="E22" s="88">
        <v>1</v>
      </c>
      <c r="F22" s="88">
        <v>1</v>
      </c>
      <c r="G22" s="88">
        <v>1</v>
      </c>
      <c r="H22" s="89">
        <f>IF(C22="Y",(($D22*E22*F22*G22)/7),0)</f>
        <v>0</v>
      </c>
      <c r="I22" s="87" t="s">
        <v>262</v>
      </c>
      <c r="J22" s="88">
        <v>1</v>
      </c>
      <c r="K22" s="88">
        <v>1</v>
      </c>
      <c r="L22" s="88">
        <v>1</v>
      </c>
      <c r="M22" s="89">
        <f>IF(I22="Y",(($D22*J22*K22*L22)/7),0)</f>
        <v>0</v>
      </c>
    </row>
    <row r="23" spans="2:13" ht="12.75">
      <c r="B23" t="s">
        <v>263</v>
      </c>
      <c r="C23" s="87" t="s">
        <v>264</v>
      </c>
      <c r="D23" s="88"/>
      <c r="E23" s="88">
        <v>1</v>
      </c>
      <c r="F23" s="88">
        <v>24</v>
      </c>
      <c r="G23" s="88">
        <v>7</v>
      </c>
      <c r="H23" s="89">
        <f>IF(C23="Y",(($D23*E23*F23*G23)/7),0)</f>
        <v>0</v>
      </c>
      <c r="I23" s="87" t="s">
        <v>265</v>
      </c>
      <c r="J23" s="88">
        <v>1</v>
      </c>
      <c r="K23" s="88">
        <v>24</v>
      </c>
      <c r="L23" s="88">
        <v>7</v>
      </c>
      <c r="M23" s="89">
        <f>IF(I23="Y",(($D23*J23*K23*L23)/7),0)</f>
        <v>0</v>
      </c>
    </row>
    <row r="24" spans="2:13" ht="12.75">
      <c r="B24" t="s">
        <v>266</v>
      </c>
      <c r="C24" s="87" t="s">
        <v>267</v>
      </c>
      <c r="D24" s="88"/>
      <c r="E24" s="88">
        <v>1</v>
      </c>
      <c r="F24" s="88">
        <v>24</v>
      </c>
      <c r="G24" s="88">
        <v>7</v>
      </c>
      <c r="H24" s="89">
        <f>IF(C24="Y",(($D24*E24*F24*G24)/7),0)</f>
        <v>0</v>
      </c>
      <c r="I24" s="87" t="s">
        <v>268</v>
      </c>
      <c r="J24" s="88">
        <v>1</v>
      </c>
      <c r="K24" s="88">
        <v>24</v>
      </c>
      <c r="L24" s="88">
        <v>7</v>
      </c>
      <c r="M24" s="89">
        <f>IF(I24="Y",(($D24*J24*K24*L24)/7),0)</f>
        <v>0</v>
      </c>
    </row>
    <row r="25" spans="2:13" ht="12.75">
      <c r="B25" t="s">
        <v>269</v>
      </c>
      <c r="C25" s="87" t="s">
        <v>270</v>
      </c>
      <c r="D25" s="88">
        <v>20</v>
      </c>
      <c r="E25" s="88">
        <v>1</v>
      </c>
      <c r="F25" s="88">
        <v>24</v>
      </c>
      <c r="G25" s="88">
        <v>7</v>
      </c>
      <c r="H25" s="89">
        <f>IF(C25="Y",(($D25*E25*F25*G25)/7),0)</f>
        <v>0</v>
      </c>
      <c r="I25" s="87" t="s">
        <v>271</v>
      </c>
      <c r="J25" s="88">
        <v>1</v>
      </c>
      <c r="K25" s="88">
        <v>24</v>
      </c>
      <c r="L25" s="88">
        <v>7</v>
      </c>
      <c r="M25" s="89">
        <f>IF(I25="Y",(($D25*J25*K25*L25)/7),0)</f>
        <v>0</v>
      </c>
    </row>
    <row r="26" spans="2:13" ht="12.75">
      <c r="B26" s="91" t="s">
        <v>272</v>
      </c>
      <c r="C26" s="87" t="s">
        <v>273</v>
      </c>
      <c r="D26" s="88">
        <v>6</v>
      </c>
      <c r="E26" s="88">
        <v>1</v>
      </c>
      <c r="F26" s="88">
        <v>24</v>
      </c>
      <c r="G26" s="88">
        <v>7</v>
      </c>
      <c r="H26" s="89">
        <f>IF(C26="Y",(($D26*E26*F26*G26)/7),0)</f>
        <v>0</v>
      </c>
      <c r="I26" s="87" t="s">
        <v>274</v>
      </c>
      <c r="J26" s="88">
        <v>1</v>
      </c>
      <c r="K26" s="88">
        <v>24</v>
      </c>
      <c r="L26" s="88">
        <v>7</v>
      </c>
      <c r="M26" s="89">
        <f>IF(I26="Y",(($D26*J26*K26*L26)/7),0)</f>
        <v>0</v>
      </c>
    </row>
    <row r="27" spans="2:13" ht="12.75">
      <c r="B27" t="s">
        <v>275</v>
      </c>
      <c r="C27" s="87" t="s">
        <v>276</v>
      </c>
      <c r="D27" s="88">
        <v>4</v>
      </c>
      <c r="E27" s="88">
        <v>1</v>
      </c>
      <c r="F27" s="88">
        <v>24</v>
      </c>
      <c r="G27" s="88">
        <v>7</v>
      </c>
      <c r="H27" s="89">
        <f>IF(C27="Y",(($D27*E27*F27*G27)/7),0)</f>
        <v>0</v>
      </c>
      <c r="I27" s="87" t="s">
        <v>277</v>
      </c>
      <c r="J27" s="88">
        <v>1</v>
      </c>
      <c r="K27" s="88">
        <v>24</v>
      </c>
      <c r="L27" s="88">
        <v>7</v>
      </c>
      <c r="M27" s="89">
        <f>IF(I27="Y",(($D27*J27*K27*L27)/7),0)</f>
        <v>0</v>
      </c>
    </row>
    <row r="28" spans="2:13" ht="12.75">
      <c r="B28" t="s">
        <v>278</v>
      </c>
      <c r="C28" s="87" t="s">
        <v>279</v>
      </c>
      <c r="D28" s="88">
        <v>4</v>
      </c>
      <c r="E28" s="88">
        <v>1</v>
      </c>
      <c r="F28" s="88">
        <v>8</v>
      </c>
      <c r="G28" s="88">
        <v>6</v>
      </c>
      <c r="H28" s="89">
        <f>IF(C28="Y",(($D28*E28*F28*G28)/7),0)</f>
        <v>0</v>
      </c>
      <c r="I28" s="87" t="s">
        <v>280</v>
      </c>
      <c r="J28" s="88">
        <v>1</v>
      </c>
      <c r="K28" s="88">
        <v>8</v>
      </c>
      <c r="L28" s="88">
        <v>6</v>
      </c>
      <c r="M28" s="89">
        <f>IF(I28="Y",(($D28*J28*K28*L28)/7),0)</f>
        <v>0</v>
      </c>
    </row>
    <row r="29" spans="1:13" ht="12.75">
      <c r="A29" s="82" t="s">
        <v>281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spans="2:13" ht="12.75">
      <c r="B30" t="s">
        <v>282</v>
      </c>
      <c r="C30" s="87" t="s">
        <v>283</v>
      </c>
      <c r="D30" s="88">
        <v>93</v>
      </c>
      <c r="E30" s="88">
        <v>1</v>
      </c>
      <c r="F30" s="90">
        <f>3/60</f>
        <v>0</v>
      </c>
      <c r="G30" s="88">
        <v>7</v>
      </c>
      <c r="H30" s="89">
        <f>IF(C30="Y",(($D30*E30*F30*G30)/7),0)</f>
        <v>0</v>
      </c>
      <c r="I30" s="87" t="s">
        <v>284</v>
      </c>
      <c r="J30" s="88">
        <v>1</v>
      </c>
      <c r="K30" s="90">
        <f>3/60</f>
        <v>0</v>
      </c>
      <c r="L30" s="88">
        <v>7</v>
      </c>
      <c r="M30" s="89">
        <f>IF(I30="Y",(($D30*J30*K30*L30)/7),0)</f>
        <v>0</v>
      </c>
    </row>
    <row r="31" spans="2:13" ht="12.75">
      <c r="B31" t="s">
        <v>285</v>
      </c>
      <c r="C31" s="87" t="s">
        <v>286</v>
      </c>
      <c r="D31" s="88">
        <v>240</v>
      </c>
      <c r="E31" s="88">
        <v>1</v>
      </c>
      <c r="F31" s="88">
        <v>1</v>
      </c>
      <c r="G31" s="88">
        <v>2</v>
      </c>
      <c r="H31" s="89">
        <f>IF(C31="Y",(($D31*E31*F31*G31)/7),0)</f>
        <v>0</v>
      </c>
      <c r="I31" s="87" t="s">
        <v>287</v>
      </c>
      <c r="J31" s="88">
        <v>1</v>
      </c>
      <c r="K31" s="88">
        <v>1</v>
      </c>
      <c r="L31" s="88">
        <v>2</v>
      </c>
      <c r="M31" s="89">
        <f>IF(I31="Y",(($D31*J31*K31*L31)/7),0)</f>
        <v>0</v>
      </c>
    </row>
    <row r="32" spans="2:13" ht="12.75">
      <c r="B32" t="s">
        <v>288</v>
      </c>
      <c r="C32" s="87" t="s">
        <v>289</v>
      </c>
      <c r="D32" s="88">
        <v>531</v>
      </c>
      <c r="E32" s="88">
        <v>1</v>
      </c>
      <c r="F32" s="88">
        <v>0.05</v>
      </c>
      <c r="G32" s="88">
        <v>0.03</v>
      </c>
      <c r="H32" s="89">
        <f>IF(C32="Y",(($D32*E32*F32*G32)/7),0)</f>
        <v>0</v>
      </c>
      <c r="I32" s="87" t="s">
        <v>290</v>
      </c>
      <c r="J32" s="88">
        <v>1</v>
      </c>
      <c r="K32" s="88">
        <v>0.05</v>
      </c>
      <c r="L32" s="88">
        <v>0.03</v>
      </c>
      <c r="M32" s="89">
        <f>IF(I32="Y",(($D32*J32*K32*L32)/7),0)</f>
        <v>0</v>
      </c>
    </row>
    <row r="33" spans="2:13" ht="12.75">
      <c r="B33" t="s">
        <v>291</v>
      </c>
      <c r="C33" s="87" t="s">
        <v>292</v>
      </c>
      <c r="D33" s="88">
        <v>684</v>
      </c>
      <c r="E33" s="88">
        <v>1</v>
      </c>
      <c r="F33" s="88">
        <v>0.9</v>
      </c>
      <c r="G33" s="88">
        <v>6</v>
      </c>
      <c r="H33" s="89">
        <f>IF(C33="Y",(($D33*E33*F33*G33)/7),0)</f>
        <v>0</v>
      </c>
      <c r="I33" s="87" t="s">
        <v>293</v>
      </c>
      <c r="J33" s="88">
        <v>1</v>
      </c>
      <c r="K33" s="88">
        <v>0.9</v>
      </c>
      <c r="L33" s="88">
        <v>6</v>
      </c>
      <c r="M33" s="89">
        <f>IF(I33="Y",(($D33*J33*K33*L33)/7),0)</f>
        <v>0</v>
      </c>
    </row>
    <row r="34" spans="1:13" ht="12.75">
      <c r="A34" s="82" t="s">
        <v>294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spans="2:13" ht="12.75">
      <c r="B35" t="s">
        <v>295</v>
      </c>
      <c r="C35" s="87" t="s">
        <v>296</v>
      </c>
      <c r="D35" s="88"/>
      <c r="E35" s="88">
        <v>1</v>
      </c>
      <c r="F35" s="88">
        <v>1</v>
      </c>
      <c r="G35" s="88">
        <v>0.03</v>
      </c>
      <c r="H35" s="89">
        <f>IF(C35="Y",(($D35*E35*F35*G35)/7),0)</f>
        <v>0</v>
      </c>
      <c r="I35" s="87" t="s">
        <v>297</v>
      </c>
      <c r="J35" s="88">
        <v>1</v>
      </c>
      <c r="K35" s="88">
        <v>1</v>
      </c>
      <c r="L35" s="88">
        <v>0.03</v>
      </c>
      <c r="M35" s="89">
        <f>IF(I35="Y",(($D35*J35*K35*L35)/7),0)</f>
        <v>0</v>
      </c>
    </row>
    <row r="36" spans="2:13" ht="12.75">
      <c r="B36" t="s">
        <v>298</v>
      </c>
      <c r="C36" s="87" t="s">
        <v>299</v>
      </c>
      <c r="D36" s="88">
        <v>51</v>
      </c>
      <c r="E36" s="88">
        <v>1</v>
      </c>
      <c r="F36" s="88">
        <v>1</v>
      </c>
      <c r="G36" s="88">
        <v>1</v>
      </c>
      <c r="H36" s="89">
        <f>IF(C36="Y",(($D36*E36*F36*G36)/7),0)</f>
        <v>0</v>
      </c>
      <c r="I36" s="87" t="s">
        <v>300</v>
      </c>
      <c r="J36" s="88">
        <v>1</v>
      </c>
      <c r="K36" s="88">
        <v>1</v>
      </c>
      <c r="L36" s="88">
        <v>1</v>
      </c>
      <c r="M36" s="89">
        <f>IF(I36="Y",(($D36*J36*K36*L36)/7),0)</f>
        <v>0</v>
      </c>
    </row>
    <row r="37" spans="2:13" ht="12.75">
      <c r="B37" t="s">
        <v>301</v>
      </c>
      <c r="C37" s="93" t="s">
        <v>302</v>
      </c>
      <c r="D37" s="88">
        <v>5</v>
      </c>
      <c r="E37" s="88">
        <v>1</v>
      </c>
      <c r="F37" s="88">
        <v>1</v>
      </c>
      <c r="G37" s="88">
        <v>1</v>
      </c>
      <c r="H37" s="89">
        <f>IF(C37="Y",(($D37*E37*F37*G37)/7),0)</f>
        <v>0</v>
      </c>
      <c r="I37" s="93" t="s">
        <v>303</v>
      </c>
      <c r="J37" s="88">
        <v>1</v>
      </c>
      <c r="K37" s="88">
        <v>1</v>
      </c>
      <c r="L37" s="88">
        <v>1</v>
      </c>
      <c r="M37" s="89">
        <f>IF(I37="Y",(($D37*J37*K37*L37)/7),0)</f>
        <v>0</v>
      </c>
    </row>
    <row r="38" spans="2:13" ht="12.75">
      <c r="B38" t="s">
        <v>304</v>
      </c>
      <c r="C38" s="87" t="s">
        <v>305</v>
      </c>
      <c r="D38" s="88" t="s">
        <v>306</v>
      </c>
      <c r="E38" s="88">
        <v>1</v>
      </c>
      <c r="F38" s="88">
        <v>10</v>
      </c>
      <c r="G38" s="88">
        <v>0.03</v>
      </c>
      <c r="H38" s="89">
        <f>IF(C38="Y",(($D38*E38*F38*G38)/7),0)</f>
        <v>0</v>
      </c>
      <c r="I38" s="87" t="s">
        <v>307</v>
      </c>
      <c r="J38" s="88">
        <v>1</v>
      </c>
      <c r="K38" s="88">
        <v>10</v>
      </c>
      <c r="L38" s="88">
        <v>0.03</v>
      </c>
      <c r="M38" s="89">
        <f>IF(I38="Y",(($D38*J38*K38*L38)/7),0)</f>
        <v>0</v>
      </c>
    </row>
    <row r="39" spans="2:13" ht="12.75">
      <c r="B39" t="s">
        <v>308</v>
      </c>
      <c r="C39" s="87" t="s">
        <v>309</v>
      </c>
      <c r="D39" s="88"/>
      <c r="E39" s="88">
        <v>1</v>
      </c>
      <c r="F39" s="88">
        <v>5</v>
      </c>
      <c r="G39" s="88">
        <v>0.03</v>
      </c>
      <c r="H39" s="89">
        <f>IF(C39="Y",(($D39*E39*F39*G39)/7),0)</f>
        <v>0</v>
      </c>
      <c r="I39" s="87" t="s">
        <v>310</v>
      </c>
      <c r="J39" s="88">
        <v>1</v>
      </c>
      <c r="K39" s="88">
        <v>5</v>
      </c>
      <c r="L39" s="88">
        <v>0.03</v>
      </c>
      <c r="M39" s="89">
        <f>IF(I39="Y",(($D39*J39*K39*L39)/7),0)</f>
        <v>0</v>
      </c>
    </row>
    <row r="40" spans="2:13" ht="12.75">
      <c r="B40" t="s">
        <v>311</v>
      </c>
      <c r="C40" s="87" t="s">
        <v>312</v>
      </c>
      <c r="D40" s="88"/>
      <c r="E40" s="88">
        <v>1</v>
      </c>
      <c r="F40" s="88">
        <v>5</v>
      </c>
      <c r="G40" s="88">
        <v>0.03</v>
      </c>
      <c r="H40" s="89">
        <f>IF(C40="Y",(($D40*E40*F40*G40)/7),0)</f>
        <v>0</v>
      </c>
      <c r="I40" s="87" t="s">
        <v>313</v>
      </c>
      <c r="J40" s="88">
        <v>1</v>
      </c>
      <c r="K40" s="88">
        <v>5</v>
      </c>
      <c r="L40" s="88">
        <v>0.03</v>
      </c>
      <c r="M40" s="89">
        <f>IF(I40="Y",(($D40*J40*K40*L40)/7),0)</f>
        <v>0</v>
      </c>
    </row>
    <row r="41" spans="2:13" ht="12.75">
      <c r="B41" t="s">
        <v>314</v>
      </c>
      <c r="C41" s="87" t="s">
        <v>315</v>
      </c>
      <c r="D41" s="88"/>
      <c r="E41" s="88">
        <v>1</v>
      </c>
      <c r="F41" s="88">
        <v>2</v>
      </c>
      <c r="G41" s="88">
        <v>0.03</v>
      </c>
      <c r="H41" s="89">
        <f>IF(C41="Y",(($D41*E41*F41*G41)/7),0)</f>
        <v>0</v>
      </c>
      <c r="I41" s="87" t="s">
        <v>316</v>
      </c>
      <c r="J41" s="88">
        <v>1</v>
      </c>
      <c r="K41" s="88">
        <v>2</v>
      </c>
      <c r="L41" s="88">
        <v>0.03</v>
      </c>
      <c r="M41" s="89">
        <f>IF(I41="Y",(($D41*J41*K41*L41)/7),0)</f>
        <v>0</v>
      </c>
    </row>
    <row r="42" spans="2:13" ht="12.75">
      <c r="B42" t="s">
        <v>317</v>
      </c>
      <c r="C42" s="87" t="s">
        <v>318</v>
      </c>
      <c r="D42" s="88"/>
      <c r="E42" s="88">
        <v>1</v>
      </c>
      <c r="F42" s="88">
        <v>2</v>
      </c>
      <c r="G42" s="88">
        <v>0.03</v>
      </c>
      <c r="H42" s="89">
        <f>IF(C42="Y",(($D42*E42*F42*G42)/7),0)</f>
        <v>0</v>
      </c>
      <c r="I42" s="87" t="s">
        <v>319</v>
      </c>
      <c r="J42" s="88">
        <v>1</v>
      </c>
      <c r="K42" s="88">
        <v>2</v>
      </c>
      <c r="L42" s="88">
        <v>0.03</v>
      </c>
      <c r="M42" s="89">
        <f>IF(I42="Y",(($D42*J42*K42*L42)/7),0)</f>
        <v>0</v>
      </c>
    </row>
    <row r="43" spans="2:13" ht="12.75">
      <c r="B43" t="s">
        <v>320</v>
      </c>
      <c r="C43" s="87" t="s">
        <v>321</v>
      </c>
      <c r="D43" s="88">
        <v>70</v>
      </c>
      <c r="E43" s="88">
        <v>1</v>
      </c>
      <c r="F43" s="88">
        <v>2</v>
      </c>
      <c r="G43" s="88">
        <v>1</v>
      </c>
      <c r="H43" s="89">
        <f>IF(C43="Y",(($D43*E43*F43*G43)/7),0)</f>
        <v>0</v>
      </c>
      <c r="I43" s="87" t="s">
        <v>322</v>
      </c>
      <c r="J43" s="88">
        <v>1</v>
      </c>
      <c r="K43" s="88">
        <v>2</v>
      </c>
      <c r="L43" s="88">
        <v>1</v>
      </c>
      <c r="M43" s="89">
        <f>IF(I43="Y",(($D43*J43*K43*L43)/7),0)</f>
        <v>0</v>
      </c>
    </row>
    <row r="44" spans="1:13" ht="12.75">
      <c r="A44" s="82" t="s">
        <v>323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spans="2:13" ht="12.75">
      <c r="B45" t="s">
        <v>324</v>
      </c>
      <c r="C45" s="87" t="s">
        <v>325</v>
      </c>
      <c r="D45" s="88">
        <v>35</v>
      </c>
      <c r="E45" s="88">
        <v>1</v>
      </c>
      <c r="F45" s="88">
        <v>6</v>
      </c>
      <c r="G45" s="88">
        <v>7</v>
      </c>
      <c r="H45" s="89">
        <f>IF(C45="Y",(($D45*E45*F45*G45)/7),0)</f>
        <v>0</v>
      </c>
      <c r="I45" s="87" t="s">
        <v>326</v>
      </c>
      <c r="J45" s="88">
        <v>1</v>
      </c>
      <c r="K45" s="88">
        <v>6</v>
      </c>
      <c r="L45" s="88">
        <v>7</v>
      </c>
      <c r="M45" s="89">
        <f>IF(I45="Y",(($D45*J45*K45*L45)/7),0)</f>
        <v>0</v>
      </c>
    </row>
    <row r="46" spans="2:13" ht="12.75">
      <c r="B46" t="s">
        <v>327</v>
      </c>
      <c r="C46" s="87" t="s">
        <v>328</v>
      </c>
      <c r="D46" s="88">
        <v>9</v>
      </c>
      <c r="E46" s="88">
        <v>1</v>
      </c>
      <c r="F46" s="88">
        <v>1</v>
      </c>
      <c r="G46" s="88">
        <v>7</v>
      </c>
      <c r="H46" s="89">
        <f>IF(C46="Y",(($D46*E46*F46*G46)/7),0)</f>
        <v>0</v>
      </c>
      <c r="I46" s="87" t="s">
        <v>329</v>
      </c>
      <c r="J46" s="88">
        <v>1</v>
      </c>
      <c r="K46" s="88">
        <v>1</v>
      </c>
      <c r="L46" s="88">
        <v>7</v>
      </c>
      <c r="M46" s="89">
        <f>IF(I46="Y",(($D46*J46*K46*L46)/7),0)</f>
        <v>0</v>
      </c>
    </row>
    <row r="47" spans="2:13" ht="12.75">
      <c r="B47" t="s">
        <v>330</v>
      </c>
      <c r="C47" s="87" t="s">
        <v>331</v>
      </c>
      <c r="D47" s="88">
        <v>70</v>
      </c>
      <c r="E47" s="88">
        <v>1</v>
      </c>
      <c r="F47" s="88">
        <v>2</v>
      </c>
      <c r="G47" s="88">
        <v>0</v>
      </c>
      <c r="H47" s="89">
        <f>IF(C47="Y",(($D47*E47*F47*G47)/7),0)</f>
        <v>0</v>
      </c>
      <c r="I47" s="87" t="s">
        <v>332</v>
      </c>
      <c r="J47" s="88">
        <v>1</v>
      </c>
      <c r="K47" s="88">
        <v>2</v>
      </c>
      <c r="L47" s="88">
        <v>6</v>
      </c>
      <c r="M47" s="89">
        <f>IF(I47="Y",(($D47*J47*K47*L47)/7),0)</f>
        <v>0</v>
      </c>
    </row>
    <row r="48" spans="2:13" ht="12.75">
      <c r="B48" t="s">
        <v>333</v>
      </c>
      <c r="C48" s="87" t="s">
        <v>334</v>
      </c>
      <c r="D48" s="88">
        <v>40</v>
      </c>
      <c r="E48" s="88">
        <v>1</v>
      </c>
      <c r="F48" s="88">
        <v>2</v>
      </c>
      <c r="G48" s="88">
        <v>0</v>
      </c>
      <c r="H48" s="89">
        <f>IF(C48="Y",(($D48*E48*F48*G48)/7),0)</f>
        <v>0</v>
      </c>
      <c r="I48" s="87" t="s">
        <v>335</v>
      </c>
      <c r="J48" s="88">
        <v>1</v>
      </c>
      <c r="K48" s="88">
        <v>2</v>
      </c>
      <c r="L48" s="88">
        <v>6</v>
      </c>
      <c r="M48" s="89">
        <f>IF(I48="Y",(($D48*J48*K48*L48)/7),0)</f>
        <v>0</v>
      </c>
    </row>
    <row r="49" spans="2:13" ht="12.75">
      <c r="B49" t="s">
        <v>336</v>
      </c>
      <c r="C49" s="87" t="s">
        <v>337</v>
      </c>
      <c r="D49" s="88">
        <v>9</v>
      </c>
      <c r="E49" s="88">
        <v>1</v>
      </c>
      <c r="F49" s="88">
        <v>6</v>
      </c>
      <c r="G49" s="88">
        <v>7</v>
      </c>
      <c r="H49" s="89">
        <f>IF(C49="Y",(($D49*E49*F49*G49)/7),0)</f>
        <v>0</v>
      </c>
      <c r="I49" s="87" t="s">
        <v>338</v>
      </c>
      <c r="J49" s="88">
        <v>1</v>
      </c>
      <c r="K49" s="88">
        <v>6</v>
      </c>
      <c r="L49" s="88">
        <v>7</v>
      </c>
      <c r="M49" s="89">
        <f>IF(I49="Y",(($D49*J49*K49*L49)/7),0)</f>
        <v>0</v>
      </c>
    </row>
    <row r="50" spans="2:13" ht="12.75">
      <c r="B50" t="s">
        <v>339</v>
      </c>
      <c r="C50" s="87" t="s">
        <v>340</v>
      </c>
      <c r="D50" s="88">
        <v>2</v>
      </c>
      <c r="E50" s="88">
        <v>1</v>
      </c>
      <c r="F50" s="88">
        <v>24</v>
      </c>
      <c r="G50" s="88">
        <v>7</v>
      </c>
      <c r="H50" s="89">
        <f>IF(C50="Y",(($D50*E50*F50*G50)/7),0)</f>
        <v>0</v>
      </c>
      <c r="I50" s="87" t="s">
        <v>341</v>
      </c>
      <c r="J50" s="88">
        <v>1</v>
      </c>
      <c r="K50" s="88">
        <v>24</v>
      </c>
      <c r="L50" s="88">
        <v>7</v>
      </c>
      <c r="M50" s="89">
        <f>IF(I50="Y",(($D50*J50*K50*L50)/7),0)</f>
        <v>0</v>
      </c>
    </row>
    <row r="51" spans="2:13" ht="12.75">
      <c r="B51" s="91" t="s">
        <v>342</v>
      </c>
      <c r="C51" s="87" t="s">
        <v>343</v>
      </c>
      <c r="D51" s="88">
        <v>1</v>
      </c>
      <c r="E51" s="88">
        <v>1</v>
      </c>
      <c r="F51" s="88">
        <v>14</v>
      </c>
      <c r="G51" s="90">
        <f>(1/30)</f>
        <v>0</v>
      </c>
      <c r="H51" s="89">
        <f>IF(C51="Y",(($D51*E51*F51*G51)/7),0)</f>
        <v>0</v>
      </c>
      <c r="I51" s="87" t="s">
        <v>344</v>
      </c>
      <c r="J51" s="88">
        <v>1</v>
      </c>
      <c r="K51" s="88">
        <v>14</v>
      </c>
      <c r="L51" s="90">
        <f>(1/30)</f>
        <v>0</v>
      </c>
      <c r="M51" s="89">
        <f>IF(I51="Y",(($D51*J51*K51*L51)/7),0)</f>
        <v>0</v>
      </c>
    </row>
    <row r="52" spans="2:13" ht="12.75">
      <c r="B52" s="91" t="s">
        <v>345</v>
      </c>
      <c r="C52" s="87" t="s">
        <v>346</v>
      </c>
      <c r="D52" s="88">
        <v>1</v>
      </c>
      <c r="E52" s="88">
        <v>1</v>
      </c>
      <c r="F52" s="88">
        <v>14</v>
      </c>
      <c r="G52" s="90">
        <f>(1/30)</f>
        <v>0</v>
      </c>
      <c r="H52" s="89">
        <f>IF(C52="Y",(($D52*E52*F52*G52)/7),0)</f>
        <v>0</v>
      </c>
      <c r="I52" s="87" t="s">
        <v>347</v>
      </c>
      <c r="J52" s="88">
        <v>1</v>
      </c>
      <c r="K52" s="88">
        <v>14</v>
      </c>
      <c r="L52" s="90">
        <f>(1/30)</f>
        <v>0</v>
      </c>
      <c r="M52" s="89">
        <f>IF(I52="Y",(($D52*J52*K52*L52)/7),0)</f>
        <v>0</v>
      </c>
    </row>
    <row r="53" spans="2:13" ht="12.75">
      <c r="B53" t="s">
        <v>348</v>
      </c>
      <c r="C53" s="87" t="s">
        <v>349</v>
      </c>
      <c r="D53" s="88">
        <v>3</v>
      </c>
      <c r="E53" s="88">
        <v>1</v>
      </c>
      <c r="F53" s="88">
        <v>2</v>
      </c>
      <c r="G53" s="88">
        <v>0.03</v>
      </c>
      <c r="H53" s="89">
        <f>IF(C53="Y",(($D53*E53*F53*G53)/7),0)</f>
        <v>0</v>
      </c>
      <c r="I53" s="87" t="s">
        <v>350</v>
      </c>
      <c r="J53" s="88">
        <v>1</v>
      </c>
      <c r="K53" s="88">
        <v>2</v>
      </c>
      <c r="L53" s="88">
        <v>0.03</v>
      </c>
      <c r="M53" s="89">
        <f>IF(I53="Y",(($D53*J53*K53*L53)/7),0)</f>
        <v>0</v>
      </c>
    </row>
    <row r="54" spans="2:13" ht="12.75">
      <c r="B54" t="s">
        <v>351</v>
      </c>
      <c r="C54" s="87" t="s">
        <v>352</v>
      </c>
      <c r="D54" s="88">
        <v>1</v>
      </c>
      <c r="E54" s="88">
        <v>1</v>
      </c>
      <c r="F54" s="88">
        <v>24</v>
      </c>
      <c r="G54" s="88">
        <v>7</v>
      </c>
      <c r="H54" s="89">
        <f>IF(C54="Y",(($D54*E54*F54*G54)/7),0)</f>
        <v>0</v>
      </c>
      <c r="I54" s="87" t="s">
        <v>353</v>
      </c>
      <c r="J54" s="88">
        <v>1</v>
      </c>
      <c r="K54" s="88">
        <v>24</v>
      </c>
      <c r="L54" s="88">
        <v>7</v>
      </c>
      <c r="M54" s="89">
        <f>IF(I54="Y",(($D54*J54*K54*L54)/7),0)</f>
        <v>0</v>
      </c>
    </row>
    <row r="55" spans="2:13" ht="12.75">
      <c r="B55" t="s">
        <v>354</v>
      </c>
      <c r="C55" s="87" t="s">
        <v>355</v>
      </c>
      <c r="D55" s="88">
        <v>15</v>
      </c>
      <c r="E55" s="88">
        <v>2</v>
      </c>
      <c r="F55" s="88">
        <v>5</v>
      </c>
      <c r="G55" s="88">
        <v>7</v>
      </c>
      <c r="H55" s="89">
        <f>IF(C55="Y",(($D55*E55*F55*G55)/7),0)</f>
        <v>0</v>
      </c>
      <c r="I55" s="87" t="s">
        <v>356</v>
      </c>
      <c r="J55" s="88">
        <v>2</v>
      </c>
      <c r="K55" s="88">
        <v>5</v>
      </c>
      <c r="L55" s="88">
        <v>7</v>
      </c>
      <c r="M55" s="89">
        <f>IF(I55="Y",(($D55*J55*K55*L55)/7),0)</f>
        <v>0</v>
      </c>
    </row>
    <row r="56" spans="2:13" ht="12.75">
      <c r="B56" t="s">
        <v>357</v>
      </c>
      <c r="C56" s="87" t="s">
        <v>358</v>
      </c>
      <c r="D56" s="88">
        <v>15</v>
      </c>
      <c r="E56" s="88">
        <v>3</v>
      </c>
      <c r="F56" s="90">
        <f>2*4</f>
        <v>0</v>
      </c>
      <c r="G56" s="88">
        <v>7</v>
      </c>
      <c r="H56" s="89">
        <f>IF(C56="Y",(($D56*E56*F56*G56)/7),0)</f>
        <v>0</v>
      </c>
      <c r="I56" s="87" t="s">
        <v>359</v>
      </c>
      <c r="J56" s="88">
        <v>3</v>
      </c>
      <c r="K56" s="90">
        <f>2*4</f>
        <v>0</v>
      </c>
      <c r="L56" s="88">
        <v>7</v>
      </c>
      <c r="M56" s="89">
        <f>IF(I56="Y",(($D56*J56*K56*L56)/7),0)</f>
        <v>0</v>
      </c>
    </row>
    <row r="57" spans="2:13" ht="12.75">
      <c r="B57" t="s">
        <v>360</v>
      </c>
      <c r="C57" s="87" t="s">
        <v>361</v>
      </c>
      <c r="D57" s="88">
        <v>10</v>
      </c>
      <c r="E57" s="88">
        <v>1</v>
      </c>
      <c r="F57" s="88">
        <v>1</v>
      </c>
      <c r="G57" s="88">
        <v>2</v>
      </c>
      <c r="H57" s="89">
        <f>IF(C57="Y",(($D57*E57*F57*G57)/7),0)</f>
        <v>0</v>
      </c>
      <c r="I57" s="87" t="s">
        <v>362</v>
      </c>
      <c r="J57" s="88">
        <v>1</v>
      </c>
      <c r="K57" s="88">
        <v>1</v>
      </c>
      <c r="L57" s="88">
        <v>2</v>
      </c>
      <c r="M57" s="89">
        <f>IF(I57="Y",(($D57*J57*K57*L57)/7),0)</f>
        <v>0</v>
      </c>
    </row>
    <row r="58" spans="1:13" ht="12.75">
      <c r="A58" s="82" t="s">
        <v>363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spans="2:13" ht="12.75">
      <c r="B59" t="s">
        <v>364</v>
      </c>
      <c r="C59" s="87" t="s">
        <v>365</v>
      </c>
      <c r="D59" s="94">
        <f>58*12</f>
        <v>0</v>
      </c>
      <c r="E59" s="88">
        <v>1</v>
      </c>
      <c r="F59" s="88">
        <v>6</v>
      </c>
      <c r="G59" s="88">
        <v>7</v>
      </c>
      <c r="H59" s="89">
        <f>IF(C59="Y",(($D59*E59*F59*G59)/7),0)</f>
        <v>0</v>
      </c>
      <c r="I59" s="87" t="s">
        <v>366</v>
      </c>
      <c r="J59" s="88">
        <v>1</v>
      </c>
      <c r="K59" s="88">
        <v>1</v>
      </c>
      <c r="L59" s="88">
        <v>7</v>
      </c>
      <c r="M59" s="89">
        <f>IF(I59="Y",(($D59*J59*K59*L59)/7),0)</f>
        <v>0</v>
      </c>
    </row>
    <row r="60" spans="2:13" ht="12.75">
      <c r="B60" t="s">
        <v>367</v>
      </c>
      <c r="C60" s="87" t="s">
        <v>368</v>
      </c>
      <c r="D60" s="94">
        <f>(115*1.2)</f>
        <v>0</v>
      </c>
      <c r="E60" s="88">
        <v>1</v>
      </c>
      <c r="F60" s="88">
        <v>6</v>
      </c>
      <c r="G60" s="88">
        <v>7</v>
      </c>
      <c r="H60" s="89">
        <f>IF(C60="Y",(($D60*E60*F60*G60)/7),0)</f>
        <v>0</v>
      </c>
      <c r="I60" s="87" t="s">
        <v>369</v>
      </c>
      <c r="J60" s="88">
        <v>1</v>
      </c>
      <c r="K60" s="88">
        <v>6</v>
      </c>
      <c r="L60" s="88">
        <v>7</v>
      </c>
      <c r="M60" s="89">
        <f>IF(I60="Y",(($D60*J60*K60*L60)/7),0)</f>
        <v>0</v>
      </c>
    </row>
    <row r="61" spans="2:13" ht="12.75">
      <c r="B61" t="s">
        <v>370</v>
      </c>
      <c r="C61" s="87" t="s">
        <v>371</v>
      </c>
      <c r="D61" s="88">
        <v>103</v>
      </c>
      <c r="E61" s="88">
        <v>1</v>
      </c>
      <c r="F61" s="88">
        <v>2</v>
      </c>
      <c r="G61" s="88">
        <v>7</v>
      </c>
      <c r="H61" s="89">
        <f>IF(C61="Y",(($D61*E61*F61*G61)/7),0)</f>
        <v>0</v>
      </c>
      <c r="I61" s="87" t="s">
        <v>372</v>
      </c>
      <c r="J61" s="88">
        <v>1</v>
      </c>
      <c r="K61" s="88">
        <v>2</v>
      </c>
      <c r="L61" s="88">
        <v>7</v>
      </c>
      <c r="M61" s="89">
        <f>IF(I61="Y",(($D61*J61*K61*L61)/7),0)</f>
        <v>0</v>
      </c>
    </row>
    <row r="62" spans="2:13" ht="12.75">
      <c r="B62" t="s">
        <v>373</v>
      </c>
      <c r="C62" s="87" t="s">
        <v>374</v>
      </c>
      <c r="D62" s="90">
        <f>7.5*24</f>
        <v>0</v>
      </c>
      <c r="E62" s="88">
        <v>1</v>
      </c>
      <c r="F62" s="88">
        <v>2</v>
      </c>
      <c r="G62" s="88">
        <v>7</v>
      </c>
      <c r="H62" s="89">
        <f>IF(C62="Y",(($D62*E62*F62*G62)/7),0)</f>
        <v>0</v>
      </c>
      <c r="I62" s="87" t="s">
        <v>375</v>
      </c>
      <c r="J62" s="88">
        <v>1</v>
      </c>
      <c r="K62" s="88">
        <v>2</v>
      </c>
      <c r="L62" s="88">
        <v>7</v>
      </c>
      <c r="M62" s="89">
        <f>IF(I62="Y",(($D62*J62*K62*L62)/7),0)</f>
        <v>0</v>
      </c>
    </row>
    <row r="63" spans="2:13" ht="12.75">
      <c r="B63" t="s">
        <v>376</v>
      </c>
      <c r="C63" s="87" t="s">
        <v>377</v>
      </c>
      <c r="D63" s="88"/>
      <c r="E63" s="88">
        <v>1</v>
      </c>
      <c r="F63" s="88">
        <v>1</v>
      </c>
      <c r="G63" s="88">
        <v>0.03</v>
      </c>
      <c r="H63" s="89">
        <f>IF(C63="Y",(($D63*E63*F63*G63)/7),0)</f>
        <v>0</v>
      </c>
      <c r="I63" s="87" t="s">
        <v>378</v>
      </c>
      <c r="J63" s="88">
        <v>1</v>
      </c>
      <c r="K63" s="88">
        <v>1</v>
      </c>
      <c r="L63" s="88">
        <v>0.03</v>
      </c>
      <c r="M63" s="89">
        <f>IF(I63="Y",(($D63*J63*K63*L63)/7),0)</f>
        <v>0</v>
      </c>
    </row>
    <row r="64" ht="12.75"/>
    <row r="65" spans="2:13" ht="12.7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ht="12.75"/>
    <row r="67" spans="2:13" ht="12.75">
      <c r="B67" t="s">
        <v>379</v>
      </c>
      <c r="H67" s="95">
        <f>SUM(H8:H64)</f>
        <v>0</v>
      </c>
      <c r="M67" s="95">
        <f>SUM(M8:M64)</f>
        <v>0</v>
      </c>
    </row>
    <row r="68" spans="2:13" ht="12.75">
      <c r="B68" s="96" t="s">
        <v>380</v>
      </c>
      <c r="C68" s="96"/>
      <c r="D68" s="96"/>
      <c r="E68" s="96"/>
      <c r="H68" s="97">
        <f>(H67*1.15)</f>
        <v>0</v>
      </c>
      <c r="J68" s="96"/>
      <c r="M68" s="97">
        <f>(M67*1.15)</f>
        <v>0</v>
      </c>
    </row>
    <row r="69" ht="12.75"/>
    <row r="70" ht="12.75"/>
    <row r="71" ht="12.75">
      <c r="I71" s="86"/>
    </row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tabSelected="1" workbookViewId="0" topLeftCell="A3">
      <selection activeCell="A27" sqref="A27"/>
    </sheetView>
  </sheetViews>
  <sheetFormatPr defaultColWidth="11.421875" defaultRowHeight="12.75"/>
  <cols>
    <col min="1" max="1" width="11.28125" style="0" customWidth="1"/>
    <col min="2" max="2" width="11.421875" style="0" customWidth="1"/>
    <col min="3" max="3" width="7.421875" style="0" customWidth="1"/>
    <col min="4" max="4" width="7.140625" style="0" customWidth="1"/>
    <col min="5" max="5" width="6.421875" style="0" customWidth="1"/>
    <col min="6" max="7" width="10.421875" style="0" customWidth="1"/>
    <col min="8" max="8" width="6.7109375" style="0" customWidth="1"/>
    <col min="9" max="9" width="6.57421875" style="0" customWidth="1"/>
    <col min="10" max="10" width="13.140625" style="0" customWidth="1"/>
    <col min="11" max="256" width="11.28125" style="0" customWidth="1"/>
  </cols>
  <sheetData>
    <row r="1" ht="16.5">
      <c r="F1" s="98" t="s">
        <v>381</v>
      </c>
    </row>
    <row r="2" ht="12.75"/>
    <row r="3" spans="2:4" ht="12.75">
      <c r="B3" s="82"/>
      <c r="C3" s="82"/>
      <c r="D3" s="99"/>
    </row>
    <row r="4" spans="2:21" ht="12.75">
      <c r="B4" s="83" t="s">
        <v>382</v>
      </c>
      <c r="C4" s="83" t="s">
        <v>383</v>
      </c>
      <c r="D4" s="83" t="s">
        <v>384</v>
      </c>
      <c r="E4" s="83" t="s">
        <v>385</v>
      </c>
      <c r="F4" s="83" t="s">
        <v>386</v>
      </c>
      <c r="G4" s="83" t="s">
        <v>387</v>
      </c>
      <c r="H4" s="83" t="s">
        <v>388</v>
      </c>
      <c r="I4" s="83" t="s">
        <v>389</v>
      </c>
      <c r="J4" s="83" t="s">
        <v>390</v>
      </c>
      <c r="K4" s="83" t="s">
        <v>391</v>
      </c>
      <c r="L4" s="83" t="s">
        <v>392</v>
      </c>
      <c r="M4" s="82" t="s">
        <v>393</v>
      </c>
      <c r="N4" s="82"/>
      <c r="O4" s="82"/>
      <c r="P4" s="82"/>
      <c r="Q4" s="82"/>
      <c r="R4" s="82"/>
      <c r="S4" s="82"/>
      <c r="T4" s="82"/>
      <c r="U4" s="82"/>
    </row>
    <row r="5" spans="1:21" ht="13.5">
      <c r="A5" s="100" t="s">
        <v>394</v>
      </c>
      <c r="B5" s="101" t="s">
        <v>395</v>
      </c>
      <c r="C5" s="102">
        <v>32</v>
      </c>
      <c r="D5" s="102">
        <v>16.5</v>
      </c>
      <c r="E5" s="102">
        <v>0.30000000000000004</v>
      </c>
      <c r="F5" s="102">
        <v>23.8</v>
      </c>
      <c r="G5" s="102">
        <v>0.37</v>
      </c>
      <c r="H5" s="102">
        <v>21.8</v>
      </c>
      <c r="I5" s="103">
        <v>9.7</v>
      </c>
      <c r="J5" s="104" t="s">
        <v>396</v>
      </c>
      <c r="K5" s="104" t="s">
        <v>397</v>
      </c>
      <c r="L5" s="105">
        <v>58</v>
      </c>
      <c r="M5" s="106">
        <f>L5/C5</f>
        <v>0</v>
      </c>
      <c r="N5" s="107"/>
      <c r="O5" s="105"/>
      <c r="P5" s="105"/>
      <c r="Q5" s="40"/>
      <c r="R5" s="40"/>
      <c r="S5" s="82"/>
      <c r="T5" s="82"/>
      <c r="U5" s="82"/>
    </row>
    <row r="6" spans="1:21" ht="12.75">
      <c r="A6" s="82"/>
      <c r="B6" s="101" t="s">
        <v>398</v>
      </c>
      <c r="C6" s="102">
        <v>11</v>
      </c>
      <c r="D6" s="102">
        <v>16.5</v>
      </c>
      <c r="E6" s="102">
        <v>0.62</v>
      </c>
      <c r="F6" s="102">
        <v>23.8</v>
      </c>
      <c r="G6" s="102">
        <v>0.78</v>
      </c>
      <c r="H6" s="102">
        <v>21.8</v>
      </c>
      <c r="I6" s="103">
        <v>16.7</v>
      </c>
      <c r="J6" s="104" t="s">
        <v>399</v>
      </c>
      <c r="K6" s="104" t="s">
        <v>400</v>
      </c>
      <c r="L6" s="105">
        <v>109</v>
      </c>
      <c r="M6" s="106">
        <f>L6/C6</f>
        <v>0</v>
      </c>
      <c r="N6" s="107"/>
      <c r="O6" s="105"/>
      <c r="P6" s="105"/>
      <c r="Q6" s="40"/>
      <c r="R6" s="40"/>
      <c r="S6" s="82"/>
      <c r="T6" s="82"/>
      <c r="U6" s="82"/>
    </row>
    <row r="7" spans="1:21" ht="12.75">
      <c r="A7" s="82"/>
      <c r="B7" s="101" t="s">
        <v>401</v>
      </c>
      <c r="C7" s="102">
        <v>21</v>
      </c>
      <c r="D7" s="102">
        <v>16.5</v>
      </c>
      <c r="E7" s="102">
        <v>1.27</v>
      </c>
      <c r="F7" s="102">
        <v>23.8</v>
      </c>
      <c r="G7" s="102">
        <v>1.59</v>
      </c>
      <c r="H7" s="102">
        <v>36.5</v>
      </c>
      <c r="I7" s="103">
        <v>15.1</v>
      </c>
      <c r="J7" s="104" t="s">
        <v>402</v>
      </c>
      <c r="K7" s="104" t="s">
        <v>403</v>
      </c>
      <c r="L7" s="105">
        <v>153</v>
      </c>
      <c r="M7" s="106">
        <f>L7/C7</f>
        <v>0</v>
      </c>
      <c r="N7" s="107"/>
      <c r="O7" s="105"/>
      <c r="P7" s="105"/>
      <c r="Q7" s="40"/>
      <c r="R7" s="40"/>
      <c r="S7" s="82"/>
      <c r="T7" s="82"/>
      <c r="U7" s="82"/>
    </row>
    <row r="8" spans="1:21" ht="12.75">
      <c r="A8" s="82"/>
      <c r="B8" s="101" t="s">
        <v>404</v>
      </c>
      <c r="C8" s="102">
        <v>32</v>
      </c>
      <c r="D8" s="102">
        <v>16.5</v>
      </c>
      <c r="E8" s="102">
        <v>1.94</v>
      </c>
      <c r="F8" s="102">
        <v>23.8</v>
      </c>
      <c r="G8" s="102">
        <v>2.4</v>
      </c>
      <c r="H8" s="102">
        <v>56.3</v>
      </c>
      <c r="I8" s="103">
        <v>16.7</v>
      </c>
      <c r="J8" s="104" t="s">
        <v>405</v>
      </c>
      <c r="K8" s="104" t="s">
        <v>406</v>
      </c>
      <c r="L8" s="105">
        <v>187</v>
      </c>
      <c r="M8" s="106">
        <f>L8/C8</f>
        <v>0</v>
      </c>
      <c r="N8" s="107"/>
      <c r="O8" s="105"/>
      <c r="P8" s="105"/>
      <c r="Q8" s="40"/>
      <c r="R8" s="40"/>
      <c r="S8" s="82"/>
      <c r="T8" s="82"/>
      <c r="U8" s="82"/>
    </row>
    <row r="9" spans="2:21" ht="12.75">
      <c r="B9" s="101" t="s">
        <v>407</v>
      </c>
      <c r="C9" s="102">
        <v>42</v>
      </c>
      <c r="D9" s="102">
        <v>16.5</v>
      </c>
      <c r="E9" s="102">
        <v>2.54</v>
      </c>
      <c r="F9" s="102">
        <v>23.8</v>
      </c>
      <c r="G9" s="102">
        <v>3.17</v>
      </c>
      <c r="H9" s="102">
        <v>36.5</v>
      </c>
      <c r="I9" s="103">
        <v>29.1</v>
      </c>
      <c r="J9" s="104" t="s">
        <v>408</v>
      </c>
      <c r="K9" s="104" t="s">
        <v>409</v>
      </c>
      <c r="L9" s="105">
        <v>232</v>
      </c>
      <c r="M9" s="106">
        <f>L9/C9</f>
        <v>0</v>
      </c>
      <c r="N9" s="107"/>
      <c r="O9" s="105"/>
      <c r="P9" s="105"/>
      <c r="Q9" s="40"/>
      <c r="R9" s="40"/>
      <c r="S9" s="82"/>
      <c r="T9" s="82"/>
      <c r="U9" s="82"/>
    </row>
    <row r="10" spans="2:21" ht="12.75">
      <c r="B10" s="101" t="s">
        <v>410</v>
      </c>
      <c r="C10" s="102">
        <v>64</v>
      </c>
      <c r="D10" s="102">
        <v>16.5</v>
      </c>
      <c r="E10" s="102">
        <v>3.88</v>
      </c>
      <c r="F10" s="102">
        <v>23.8</v>
      </c>
      <c r="G10" s="102">
        <v>4.8</v>
      </c>
      <c r="H10" s="102">
        <v>53.8</v>
      </c>
      <c r="I10" s="103">
        <v>29.1</v>
      </c>
      <c r="J10" s="104" t="s">
        <v>411</v>
      </c>
      <c r="K10" s="104" t="s">
        <v>412</v>
      </c>
      <c r="L10" s="105">
        <v>309</v>
      </c>
      <c r="M10" s="106">
        <f>L10/C10</f>
        <v>0</v>
      </c>
      <c r="N10" s="107"/>
      <c r="O10" s="105"/>
      <c r="P10" s="105"/>
      <c r="Q10" s="40"/>
      <c r="R10" s="40"/>
      <c r="S10" s="82"/>
      <c r="T10" s="82"/>
      <c r="U10" s="82"/>
    </row>
    <row r="11" spans="2:21" s="92" customFormat="1" ht="12.75">
      <c r="B11" s="108"/>
      <c r="C11" s="109"/>
      <c r="D11" s="109"/>
      <c r="E11" s="109"/>
      <c r="F11" s="109"/>
      <c r="G11" s="109"/>
      <c r="H11" s="109"/>
      <c r="I11" s="109"/>
      <c r="J11" s="109"/>
      <c r="K11" s="110"/>
      <c r="L11" s="111"/>
      <c r="M11" s="112"/>
      <c r="N11" s="112"/>
      <c r="O11" s="111"/>
      <c r="P11" s="113"/>
      <c r="Q11" s="113"/>
      <c r="R11" s="113"/>
      <c r="S11" s="113"/>
      <c r="T11" s="113"/>
      <c r="U11" s="113"/>
    </row>
    <row r="12" spans="1:21" ht="12.75">
      <c r="A12" s="100" t="s">
        <v>413</v>
      </c>
      <c r="B12" s="114" t="s">
        <v>414</v>
      </c>
      <c r="C12" s="88">
        <v>50</v>
      </c>
      <c r="D12" s="88">
        <v>17</v>
      </c>
      <c r="E12" s="88">
        <v>2.95</v>
      </c>
      <c r="F12" s="88">
        <v>21.4</v>
      </c>
      <c r="G12" s="88">
        <v>3.4</v>
      </c>
      <c r="H12" s="88"/>
      <c r="I12" s="88"/>
      <c r="J12" s="115" t="s">
        <v>415</v>
      </c>
      <c r="K12" s="104" t="s">
        <v>416</v>
      </c>
      <c r="L12" s="105">
        <v>329</v>
      </c>
      <c r="M12" s="106">
        <f>L12/C12</f>
        <v>0</v>
      </c>
      <c r="N12" s="107"/>
      <c r="O12" s="105"/>
      <c r="P12" s="116"/>
      <c r="Q12" s="116"/>
      <c r="R12" s="116"/>
      <c r="S12" s="116"/>
      <c r="T12" s="116"/>
      <c r="U12" s="116"/>
    </row>
    <row r="13" spans="1:21" ht="12.75">
      <c r="A13" s="82"/>
      <c r="B13" s="114" t="s">
        <v>417</v>
      </c>
      <c r="C13" s="88">
        <v>55</v>
      </c>
      <c r="D13" s="88">
        <v>17.4</v>
      </c>
      <c r="E13" s="88">
        <v>3.15</v>
      </c>
      <c r="F13" s="88">
        <v>21.7</v>
      </c>
      <c r="G13" s="88">
        <v>3.45</v>
      </c>
      <c r="H13" s="88">
        <v>50.9</v>
      </c>
      <c r="I13" s="88">
        <v>13</v>
      </c>
      <c r="J13" s="115" t="s">
        <v>418</v>
      </c>
      <c r="K13" s="104" t="s">
        <v>419</v>
      </c>
      <c r="L13" s="105">
        <v>379</v>
      </c>
      <c r="M13" s="106">
        <f>L13/C13</f>
        <v>0</v>
      </c>
      <c r="N13" s="107"/>
      <c r="O13" s="105"/>
      <c r="P13" s="116"/>
      <c r="Q13" s="116"/>
      <c r="R13" s="116"/>
      <c r="S13" s="116"/>
      <c r="T13" s="116"/>
      <c r="U13" s="116"/>
    </row>
    <row r="14" spans="1:21" ht="12.75">
      <c r="A14" s="82"/>
      <c r="B14" s="114" t="s">
        <v>420</v>
      </c>
      <c r="C14" s="88">
        <v>70</v>
      </c>
      <c r="D14" s="88">
        <v>16.4</v>
      </c>
      <c r="E14" s="88">
        <v>4.25</v>
      </c>
      <c r="F14" s="88">
        <v>21.4</v>
      </c>
      <c r="G14" s="88">
        <v>4.7</v>
      </c>
      <c r="H14" s="88">
        <v>47.3</v>
      </c>
      <c r="I14" s="88">
        <v>20.8</v>
      </c>
      <c r="J14" s="115" t="s">
        <v>421</v>
      </c>
      <c r="K14" s="104" t="s">
        <v>422</v>
      </c>
      <c r="L14" s="105">
        <v>245</v>
      </c>
      <c r="M14" s="106">
        <f>L14/C14</f>
        <v>0</v>
      </c>
      <c r="N14" s="107"/>
      <c r="O14" s="105"/>
      <c r="P14" s="116"/>
      <c r="Q14" s="116"/>
      <c r="R14" s="116"/>
      <c r="S14" s="116"/>
      <c r="T14" s="116"/>
      <c r="U14" s="116"/>
    </row>
    <row r="15" spans="1:21" ht="12.75">
      <c r="A15" s="82"/>
      <c r="B15" s="114" t="s">
        <v>423</v>
      </c>
      <c r="C15" s="88">
        <v>75</v>
      </c>
      <c r="D15" s="88">
        <v>17</v>
      </c>
      <c r="E15" s="88">
        <v>4.4</v>
      </c>
      <c r="F15" s="88">
        <v>21.7</v>
      </c>
      <c r="G15" s="88">
        <v>4.8</v>
      </c>
      <c r="H15" s="88">
        <v>47.3</v>
      </c>
      <c r="I15" s="88">
        <v>20.5</v>
      </c>
      <c r="J15" s="115" t="s">
        <v>424</v>
      </c>
      <c r="K15" s="104" t="s">
        <v>425</v>
      </c>
      <c r="L15" s="105">
        <v>264</v>
      </c>
      <c r="M15" s="106">
        <f>L15/C15</f>
        <v>0</v>
      </c>
      <c r="N15" s="107"/>
      <c r="O15" s="105"/>
      <c r="P15" s="116"/>
      <c r="Q15" s="116"/>
      <c r="R15" s="116"/>
      <c r="S15" s="116"/>
      <c r="T15" s="116"/>
      <c r="U15" s="116"/>
    </row>
    <row r="16" spans="1:21" s="86" customFormat="1" ht="12.75">
      <c r="A16" s="84"/>
      <c r="B16" s="114" t="s">
        <v>426</v>
      </c>
      <c r="C16" s="88">
        <v>110</v>
      </c>
      <c r="D16" s="88">
        <v>35</v>
      </c>
      <c r="E16" s="88">
        <v>3.15</v>
      </c>
      <c r="F16" s="88">
        <v>43.5</v>
      </c>
      <c r="G16" s="88">
        <v>3.45</v>
      </c>
      <c r="H16" s="88"/>
      <c r="I16" s="88"/>
      <c r="J16" s="115" t="s">
        <v>427</v>
      </c>
      <c r="K16" s="104" t="s">
        <v>428</v>
      </c>
      <c r="L16" s="105">
        <v>639</v>
      </c>
      <c r="M16" s="106">
        <f>L16/C16</f>
        <v>0</v>
      </c>
      <c r="N16" s="107"/>
      <c r="O16" s="105"/>
      <c r="P16" s="117"/>
      <c r="Q16" s="117"/>
      <c r="R16" s="117"/>
      <c r="S16" s="117"/>
      <c r="T16" s="117"/>
      <c r="U16" s="117"/>
    </row>
    <row r="17" spans="1:21" s="86" customFormat="1" ht="12.75">
      <c r="A17" s="84"/>
      <c r="B17" s="114" t="s">
        <v>429</v>
      </c>
      <c r="C17" s="88">
        <v>130</v>
      </c>
      <c r="D17" s="88">
        <v>33</v>
      </c>
      <c r="E17" s="88">
        <v>3.95</v>
      </c>
      <c r="F17" s="88">
        <v>42.8</v>
      </c>
      <c r="G17" s="88">
        <v>4.8</v>
      </c>
      <c r="H17" s="88">
        <v>63.76</v>
      </c>
      <c r="I17" s="88">
        <v>32.05</v>
      </c>
      <c r="J17" s="115" t="s">
        <v>430</v>
      </c>
      <c r="K17" s="104" t="s">
        <v>431</v>
      </c>
      <c r="L17" s="105">
        <v>429</v>
      </c>
      <c r="M17" s="106">
        <f>L17/C17</f>
        <v>0</v>
      </c>
      <c r="N17" s="107"/>
      <c r="O17" s="105"/>
      <c r="P17" s="117"/>
      <c r="Q17" s="117"/>
      <c r="R17" s="117"/>
      <c r="S17" s="117"/>
      <c r="T17" s="117"/>
      <c r="U17" s="117"/>
    </row>
    <row r="18" spans="1:21" s="86" customFormat="1" ht="12.75">
      <c r="A18" s="84"/>
      <c r="B18" s="114" t="s">
        <v>432</v>
      </c>
      <c r="C18" s="88">
        <v>140</v>
      </c>
      <c r="D18" s="88">
        <v>34</v>
      </c>
      <c r="E18" s="88">
        <v>4.25</v>
      </c>
      <c r="F18" s="88">
        <v>42.8</v>
      </c>
      <c r="G18" s="88">
        <v>4.7</v>
      </c>
      <c r="H18" s="88">
        <v>63.76</v>
      </c>
      <c r="I18" s="88">
        <v>32.05</v>
      </c>
      <c r="J18" s="115" t="s">
        <v>433</v>
      </c>
      <c r="K18" s="104" t="s">
        <v>434</v>
      </c>
      <c r="L18" s="105">
        <v>490</v>
      </c>
      <c r="M18" s="106">
        <f>L18/C18</f>
        <v>0</v>
      </c>
      <c r="N18" s="107"/>
      <c r="O18" s="105"/>
      <c r="P18" s="117"/>
      <c r="Q18" s="117"/>
      <c r="R18" s="117"/>
      <c r="S18" s="117"/>
      <c r="T18" s="117"/>
      <c r="U18" s="117"/>
    </row>
    <row r="19" spans="1:21" s="86" customFormat="1" ht="12.75">
      <c r="A19" s="84"/>
      <c r="B19" s="114" t="s">
        <v>435</v>
      </c>
      <c r="C19" s="88">
        <v>150</v>
      </c>
      <c r="D19" s="88">
        <v>34</v>
      </c>
      <c r="E19" s="88">
        <v>4.4</v>
      </c>
      <c r="F19" s="88">
        <v>43.4</v>
      </c>
      <c r="G19" s="88">
        <v>4.8</v>
      </c>
      <c r="H19" s="88">
        <v>63.76</v>
      </c>
      <c r="I19" s="88">
        <v>32.05</v>
      </c>
      <c r="J19" s="115" t="s">
        <v>436</v>
      </c>
      <c r="K19" s="104" t="s">
        <v>437</v>
      </c>
      <c r="L19" s="105">
        <v>585</v>
      </c>
      <c r="M19" s="106">
        <f>L19/C19</f>
        <v>0</v>
      </c>
      <c r="N19" s="107"/>
      <c r="O19" s="105"/>
      <c r="P19" s="117"/>
      <c r="Q19" s="117"/>
      <c r="R19" s="117"/>
      <c r="S19" s="117"/>
      <c r="T19" s="117"/>
      <c r="U19" s="117"/>
    </row>
    <row r="20" spans="10:21" s="92" customFormat="1" ht="12.75">
      <c r="J20" s="118"/>
      <c r="K20" s="110"/>
      <c r="L20" s="119" t="s">
        <v>438</v>
      </c>
      <c r="M20" s="120"/>
      <c r="N20" s="120"/>
      <c r="O20" s="119"/>
      <c r="P20" s="119"/>
      <c r="Q20" s="119"/>
      <c r="R20" s="119"/>
      <c r="S20" s="119"/>
      <c r="T20" s="119"/>
      <c r="U20" s="119"/>
    </row>
    <row r="21" spans="1:21" ht="12.75">
      <c r="A21" s="100" t="s">
        <v>439</v>
      </c>
      <c r="B21" s="121" t="s">
        <v>440</v>
      </c>
      <c r="C21" s="88">
        <v>50</v>
      </c>
      <c r="D21" s="88">
        <v>16.7</v>
      </c>
      <c r="E21" s="88">
        <v>3</v>
      </c>
      <c r="F21" s="88">
        <v>21.5</v>
      </c>
      <c r="G21" s="88">
        <v>3.3</v>
      </c>
      <c r="H21" s="88">
        <v>33.8</v>
      </c>
      <c r="I21" s="88">
        <v>26</v>
      </c>
      <c r="J21" s="115" t="s">
        <v>441</v>
      </c>
      <c r="K21" s="104" t="s">
        <v>442</v>
      </c>
      <c r="L21" s="105">
        <v>0</v>
      </c>
      <c r="M21" s="106">
        <f>L21/C21</f>
        <v>0</v>
      </c>
      <c r="N21" s="107"/>
      <c r="O21" s="105"/>
      <c r="P21" s="116"/>
      <c r="Q21" s="116"/>
      <c r="R21" s="116"/>
      <c r="S21" s="116"/>
      <c r="T21" s="116"/>
      <c r="U21" s="116"/>
    </row>
    <row r="22" spans="2:21" ht="12.75">
      <c r="B22" s="121" t="s">
        <v>443</v>
      </c>
      <c r="C22" s="88">
        <v>75</v>
      </c>
      <c r="D22" s="88">
        <v>17</v>
      </c>
      <c r="E22" s="88">
        <v>4.4</v>
      </c>
      <c r="F22" s="88">
        <v>21</v>
      </c>
      <c r="G22" s="88">
        <v>4.8</v>
      </c>
      <c r="H22" s="88">
        <v>47.2</v>
      </c>
      <c r="I22" s="88">
        <v>20.7</v>
      </c>
      <c r="J22" s="115" t="s">
        <v>444</v>
      </c>
      <c r="K22" s="104" t="s">
        <v>445</v>
      </c>
      <c r="L22" s="105">
        <v>419</v>
      </c>
      <c r="M22" s="106">
        <f>L22/C22</f>
        <v>0</v>
      </c>
      <c r="N22" s="107"/>
      <c r="O22" s="105"/>
      <c r="P22" s="116"/>
      <c r="Q22" s="116"/>
      <c r="R22" s="116"/>
      <c r="S22" s="116"/>
      <c r="T22" s="116"/>
      <c r="U22" s="116"/>
    </row>
    <row r="23" spans="2:21" ht="12.75">
      <c r="B23" s="121" t="s">
        <v>446</v>
      </c>
      <c r="C23" s="88">
        <v>110</v>
      </c>
      <c r="D23" s="88">
        <v>16.7</v>
      </c>
      <c r="E23" s="88">
        <v>6.6</v>
      </c>
      <c r="F23" s="88">
        <v>20.7</v>
      </c>
      <c r="G23" s="88">
        <v>7.5</v>
      </c>
      <c r="H23" s="88">
        <v>58.1</v>
      </c>
      <c r="I23" s="88">
        <v>26</v>
      </c>
      <c r="J23" s="115" t="s">
        <v>447</v>
      </c>
      <c r="K23" s="104" t="s">
        <v>448</v>
      </c>
      <c r="L23" s="105">
        <v>525</v>
      </c>
      <c r="M23" s="106">
        <f>L23/C23</f>
        <v>0</v>
      </c>
      <c r="N23" s="107"/>
      <c r="O23" s="105"/>
      <c r="P23" s="116"/>
      <c r="Q23" s="116"/>
      <c r="R23" s="116"/>
      <c r="S23" s="116"/>
      <c r="T23" s="116"/>
      <c r="U23" s="116"/>
    </row>
    <row r="24" spans="2:21" ht="12.75">
      <c r="B24" s="121" t="s">
        <v>449</v>
      </c>
      <c r="C24" s="88">
        <v>120</v>
      </c>
      <c r="D24" s="88">
        <v>16.9</v>
      </c>
      <c r="E24" s="88">
        <v>7.1</v>
      </c>
      <c r="F24" s="88">
        <v>21</v>
      </c>
      <c r="G24" s="88">
        <v>7.7</v>
      </c>
      <c r="H24" s="88">
        <v>58.1</v>
      </c>
      <c r="I24" s="88">
        <v>26</v>
      </c>
      <c r="J24" s="115" t="s">
        <v>450</v>
      </c>
      <c r="K24" s="104" t="s">
        <v>451</v>
      </c>
      <c r="L24" s="105">
        <v>649</v>
      </c>
      <c r="M24" s="106">
        <f>L24/C24</f>
        <v>0</v>
      </c>
      <c r="N24" s="107"/>
      <c r="O24" s="105"/>
      <c r="P24" s="116"/>
      <c r="Q24" s="116"/>
      <c r="R24" s="116"/>
      <c r="S24" s="116"/>
      <c r="T24" s="116"/>
      <c r="U24" s="116"/>
    </row>
    <row r="25" spans="10:21" s="92" customFormat="1" ht="12.75">
      <c r="J25" s="118"/>
      <c r="K25" s="110"/>
      <c r="L25" s="119" t="s">
        <v>452</v>
      </c>
      <c r="M25" s="120"/>
      <c r="N25" s="120"/>
      <c r="O25" s="119"/>
      <c r="P25" s="119"/>
      <c r="Q25" s="119"/>
      <c r="R25" s="119"/>
      <c r="S25" s="119"/>
      <c r="T25" s="119"/>
      <c r="U25" s="119"/>
    </row>
    <row r="26" spans="1:21" ht="12.75">
      <c r="A26" s="100" t="s">
        <v>453</v>
      </c>
      <c r="B26" s="121" t="s">
        <v>454</v>
      </c>
      <c r="C26" s="88">
        <v>70</v>
      </c>
      <c r="D26" s="88">
        <v>16.9</v>
      </c>
      <c r="E26" s="88">
        <v>4.14</v>
      </c>
      <c r="F26" s="88">
        <v>21.5</v>
      </c>
      <c r="G26" s="88">
        <v>4.35</v>
      </c>
      <c r="H26" s="88">
        <v>34.1</v>
      </c>
      <c r="I26" s="88">
        <v>25.7</v>
      </c>
      <c r="J26" s="115" t="s">
        <v>455</v>
      </c>
      <c r="K26" s="104" t="s">
        <v>456</v>
      </c>
      <c r="L26" s="105">
        <v>300</v>
      </c>
      <c r="M26" s="106">
        <f>L26/C26</f>
        <v>0</v>
      </c>
      <c r="N26" s="107"/>
      <c r="O26" s="105"/>
      <c r="P26" s="116"/>
      <c r="Q26" s="116"/>
      <c r="R26" s="116"/>
      <c r="S26" s="116"/>
      <c r="T26" s="116"/>
      <c r="U26" s="116"/>
    </row>
    <row r="27" spans="2:21" ht="12.75">
      <c r="B27" s="121" t="s">
        <v>457</v>
      </c>
      <c r="C27" s="88">
        <v>80</v>
      </c>
      <c r="D27" s="88">
        <v>16.9</v>
      </c>
      <c r="E27" s="88">
        <v>4.73</v>
      </c>
      <c r="F27" s="88">
        <v>21.5</v>
      </c>
      <c r="G27" s="88">
        <v>4.97</v>
      </c>
      <c r="H27" s="88">
        <v>38.4</v>
      </c>
      <c r="I27" s="88">
        <v>25.7</v>
      </c>
      <c r="J27" s="115" t="s">
        <v>458</v>
      </c>
      <c r="K27" s="104" t="s">
        <v>459</v>
      </c>
      <c r="L27" s="105">
        <v>415</v>
      </c>
      <c r="M27" s="106">
        <f>L27/C27</f>
        <v>0</v>
      </c>
      <c r="N27" s="107"/>
      <c r="O27" s="105"/>
      <c r="P27" s="116"/>
      <c r="Q27" s="116"/>
      <c r="R27" s="116"/>
      <c r="S27" s="116"/>
      <c r="T27" s="116"/>
      <c r="U27" s="116"/>
    </row>
    <row r="28" spans="2:21" ht="12.75">
      <c r="B28" s="121" t="s">
        <v>460</v>
      </c>
      <c r="C28" s="88">
        <v>120</v>
      </c>
      <c r="D28" s="88">
        <v>16.9</v>
      </c>
      <c r="E28" s="88">
        <v>7.1</v>
      </c>
      <c r="F28" s="88">
        <v>21.5</v>
      </c>
      <c r="G28" s="88">
        <v>7.45</v>
      </c>
      <c r="H28" s="88">
        <v>56.1</v>
      </c>
      <c r="I28" s="88">
        <v>25.7</v>
      </c>
      <c r="J28" s="115" t="s">
        <v>461</v>
      </c>
      <c r="K28" s="104" t="s">
        <v>462</v>
      </c>
      <c r="L28" s="105">
        <v>507</v>
      </c>
      <c r="M28" s="106">
        <f>L28/C28</f>
        <v>0</v>
      </c>
      <c r="N28" s="107"/>
      <c r="O28" s="105"/>
      <c r="P28" s="116"/>
      <c r="Q28" s="116"/>
      <c r="R28" s="116"/>
      <c r="S28" s="116"/>
      <c r="T28" s="116"/>
      <c r="U28" s="116"/>
    </row>
    <row r="29" spans="2:21" ht="12.75">
      <c r="B29" s="121" t="s">
        <v>463</v>
      </c>
      <c r="C29" s="88">
        <v>125</v>
      </c>
      <c r="D29" s="88">
        <v>17.4</v>
      </c>
      <c r="E29" s="88">
        <v>7.2</v>
      </c>
      <c r="F29" s="88">
        <v>21.7</v>
      </c>
      <c r="G29" s="88">
        <v>8</v>
      </c>
      <c r="H29" s="88">
        <v>56</v>
      </c>
      <c r="I29" s="88">
        <v>25.7</v>
      </c>
      <c r="J29" s="115" t="s">
        <v>464</v>
      </c>
      <c r="K29" s="104" t="s">
        <v>465</v>
      </c>
      <c r="L29" s="105">
        <v>455</v>
      </c>
      <c r="M29" s="106">
        <f>L29/C29</f>
        <v>0</v>
      </c>
      <c r="N29" s="107"/>
      <c r="O29" s="105"/>
      <c r="P29" s="116"/>
      <c r="Q29" s="116"/>
      <c r="R29" s="116"/>
      <c r="S29" s="116"/>
      <c r="T29" s="116"/>
      <c r="U29" s="116"/>
    </row>
    <row r="30" spans="2:21" ht="12.75">
      <c r="B30" s="121" t="s">
        <v>466</v>
      </c>
      <c r="C30" s="88">
        <v>158</v>
      </c>
      <c r="D30" s="88">
        <v>23.2</v>
      </c>
      <c r="E30" s="88">
        <v>6.82</v>
      </c>
      <c r="F30" s="88">
        <v>28.9</v>
      </c>
      <c r="G30" s="88">
        <v>7.58</v>
      </c>
      <c r="H30" s="88">
        <v>50.8</v>
      </c>
      <c r="I30" s="88">
        <v>39</v>
      </c>
      <c r="J30" s="115" t="s">
        <v>467</v>
      </c>
      <c r="K30" s="104" t="s">
        <v>468</v>
      </c>
      <c r="L30" s="105">
        <v>602.5</v>
      </c>
      <c r="M30" s="106">
        <f>L30/C30</f>
        <v>0</v>
      </c>
      <c r="N30" s="107"/>
      <c r="O30" s="105"/>
      <c r="P30" s="116"/>
      <c r="Q30" s="116"/>
      <c r="R30" s="116"/>
      <c r="S30" s="116"/>
      <c r="T30" s="116"/>
      <c r="U30" s="116"/>
    </row>
    <row r="31" spans="2:21" ht="12.75">
      <c r="B31" s="121" t="s">
        <v>469</v>
      </c>
      <c r="C31" s="88">
        <v>167</v>
      </c>
      <c r="D31" s="88">
        <v>23.2</v>
      </c>
      <c r="E31" s="88">
        <v>7.2</v>
      </c>
      <c r="F31" s="88">
        <v>28.9</v>
      </c>
      <c r="G31" s="88">
        <v>8</v>
      </c>
      <c r="H31" s="88">
        <v>50.8</v>
      </c>
      <c r="I31" s="88">
        <v>39</v>
      </c>
      <c r="J31" s="115" t="s">
        <v>470</v>
      </c>
      <c r="K31" s="104" t="s">
        <v>471</v>
      </c>
      <c r="L31" s="105">
        <v>625</v>
      </c>
      <c r="M31" s="106">
        <f>L31/C31</f>
        <v>0</v>
      </c>
      <c r="N31" s="107"/>
      <c r="O31" s="105"/>
      <c r="P31" s="116"/>
      <c r="Q31" s="116"/>
      <c r="R31" s="116"/>
      <c r="S31" s="116"/>
      <c r="T31" s="116"/>
      <c r="U31" s="116"/>
    </row>
    <row r="32" spans="10:21" s="92" customFormat="1" ht="12.75">
      <c r="J32" s="118"/>
      <c r="K32" s="110"/>
      <c r="L32" s="119" t="s">
        <v>472</v>
      </c>
      <c r="M32" s="120"/>
      <c r="N32" s="120"/>
      <c r="O32" s="119"/>
      <c r="P32" s="119"/>
      <c r="Q32" s="119"/>
      <c r="R32" s="119"/>
      <c r="S32" s="119"/>
      <c r="T32" s="119"/>
      <c r="U32" s="119"/>
    </row>
    <row r="33" spans="1:21" ht="12.75">
      <c r="A33" s="100" t="s">
        <v>473</v>
      </c>
      <c r="B33" s="121" t="s">
        <v>474</v>
      </c>
      <c r="C33" s="88">
        <v>75</v>
      </c>
      <c r="D33" s="88">
        <v>17.3</v>
      </c>
      <c r="E33" s="88">
        <v>4.35</v>
      </c>
      <c r="F33" s="88">
        <v>21.8</v>
      </c>
      <c r="G33" s="88">
        <v>4.75</v>
      </c>
      <c r="H33" s="88">
        <v>57.31</v>
      </c>
      <c r="I33" s="88">
        <v>28.78</v>
      </c>
      <c r="J33" s="115" t="s">
        <v>475</v>
      </c>
      <c r="K33" s="104" t="s">
        <v>476</v>
      </c>
      <c r="L33" s="105">
        <v>313</v>
      </c>
      <c r="M33" s="106">
        <f>L33/C33</f>
        <v>0</v>
      </c>
      <c r="N33" s="107"/>
      <c r="O33" s="105"/>
      <c r="P33" s="116"/>
      <c r="Q33" s="116"/>
      <c r="R33" s="116"/>
      <c r="S33" s="116"/>
      <c r="T33" s="116"/>
      <c r="U33" s="116"/>
    </row>
    <row r="34" spans="2:21" ht="12.75">
      <c r="B34" s="121" t="s">
        <v>477</v>
      </c>
      <c r="C34" s="88">
        <v>110</v>
      </c>
      <c r="D34" s="88">
        <v>32.9</v>
      </c>
      <c r="E34" s="88">
        <v>3.34</v>
      </c>
      <c r="F34" s="88">
        <v>41.2</v>
      </c>
      <c r="G34" s="88">
        <v>3.69</v>
      </c>
      <c r="H34" s="88">
        <v>57.31</v>
      </c>
      <c r="I34" s="88">
        <v>28.78</v>
      </c>
      <c r="J34" s="115" t="s">
        <v>478</v>
      </c>
      <c r="K34" s="104" t="s">
        <v>479</v>
      </c>
      <c r="L34" s="105">
        <v>238</v>
      </c>
      <c r="M34" s="106">
        <f>L34/C34</f>
        <v>0</v>
      </c>
      <c r="N34" s="107"/>
      <c r="O34" s="105"/>
      <c r="P34" s="116"/>
      <c r="Q34" s="116"/>
      <c r="R34" s="116"/>
      <c r="S34" s="116"/>
      <c r="T34" s="116"/>
      <c r="U34" s="116"/>
    </row>
    <row r="35" spans="2:21" ht="12.75">
      <c r="B35" s="121" t="s">
        <v>480</v>
      </c>
      <c r="C35" s="88">
        <v>120</v>
      </c>
      <c r="D35" s="88">
        <v>33.7</v>
      </c>
      <c r="E35" s="88">
        <v>3.56</v>
      </c>
      <c r="F35" s="88">
        <v>42.1</v>
      </c>
      <c r="G35" s="88">
        <v>3.87</v>
      </c>
      <c r="H35" s="88">
        <v>57.31</v>
      </c>
      <c r="I35" s="88">
        <v>28.78</v>
      </c>
      <c r="J35" s="115" t="s">
        <v>481</v>
      </c>
      <c r="K35" s="104" t="s">
        <v>482</v>
      </c>
      <c r="L35" s="105">
        <v>595</v>
      </c>
      <c r="M35" s="106">
        <f>L35/C35</f>
        <v>0</v>
      </c>
      <c r="N35" s="107"/>
      <c r="O35" s="105"/>
      <c r="P35" s="116"/>
      <c r="Q35" s="116"/>
      <c r="R35" s="116"/>
      <c r="S35" s="116"/>
      <c r="T35" s="116"/>
      <c r="U35" s="116"/>
    </row>
    <row r="36" spans="2:21" ht="12.75">
      <c r="B36" s="121" t="s">
        <v>483</v>
      </c>
      <c r="C36" s="88">
        <v>140</v>
      </c>
      <c r="D36" s="88">
        <v>34</v>
      </c>
      <c r="E36" s="88">
        <v>4.11</v>
      </c>
      <c r="F36" s="88">
        <v>42.8</v>
      </c>
      <c r="G36" s="88">
        <v>4.5</v>
      </c>
      <c r="H36" s="88">
        <v>62.7</v>
      </c>
      <c r="I36" s="88">
        <v>31.1</v>
      </c>
      <c r="J36" s="115" t="s">
        <v>484</v>
      </c>
      <c r="K36" s="104" t="s">
        <v>485</v>
      </c>
      <c r="L36" s="105">
        <v>545</v>
      </c>
      <c r="M36" s="106">
        <f>L36/C36</f>
        <v>0</v>
      </c>
      <c r="N36" s="107"/>
      <c r="O36" s="105"/>
      <c r="P36" s="116"/>
      <c r="Q36" s="116"/>
      <c r="R36" s="116"/>
      <c r="S36" s="116"/>
      <c r="T36" s="116"/>
      <c r="U36" s="116"/>
    </row>
    <row r="37" spans="2:21" ht="12.75">
      <c r="B37" s="121" t="s">
        <v>486</v>
      </c>
      <c r="C37" s="88">
        <v>150</v>
      </c>
      <c r="D37" s="88">
        <v>34.5</v>
      </c>
      <c r="E37" s="88">
        <v>4.35</v>
      </c>
      <c r="F37" s="88">
        <v>43.5</v>
      </c>
      <c r="G37" s="88">
        <v>4.75</v>
      </c>
      <c r="H37" s="88">
        <v>62.7</v>
      </c>
      <c r="I37" s="88">
        <v>31.1</v>
      </c>
      <c r="J37" s="115" t="s">
        <v>487</v>
      </c>
      <c r="K37" s="104" t="s">
        <v>488</v>
      </c>
      <c r="L37" s="105">
        <v>564</v>
      </c>
      <c r="M37" s="106">
        <f>L37/C37</f>
        <v>0</v>
      </c>
      <c r="N37" s="107"/>
      <c r="O37" s="105"/>
      <c r="P37" s="116"/>
      <c r="Q37" s="116"/>
      <c r="R37" s="116"/>
      <c r="S37" s="116"/>
      <c r="T37" s="116"/>
      <c r="U37" s="116"/>
    </row>
    <row r="38" spans="2:21" ht="12.75">
      <c r="B38" s="121" t="s">
        <v>489</v>
      </c>
      <c r="C38" s="88">
        <v>160</v>
      </c>
      <c r="D38" s="88">
        <v>35.1</v>
      </c>
      <c r="E38" s="88">
        <v>4.55</v>
      </c>
      <c r="F38" s="88">
        <v>44.2</v>
      </c>
      <c r="G38" s="88">
        <v>4.8</v>
      </c>
      <c r="H38" s="88">
        <v>62.7</v>
      </c>
      <c r="I38" s="88">
        <v>31.1</v>
      </c>
      <c r="J38" s="115" t="s">
        <v>490</v>
      </c>
      <c r="K38" s="104" t="s">
        <v>491</v>
      </c>
      <c r="L38" s="105">
        <v>629</v>
      </c>
      <c r="M38" s="106">
        <f>L38/C38</f>
        <v>0</v>
      </c>
      <c r="N38" s="107"/>
      <c r="O38" s="105"/>
      <c r="P38" s="116"/>
      <c r="Q38" s="116"/>
      <c r="R38" s="116"/>
      <c r="S38" s="116"/>
      <c r="T38" s="116"/>
      <c r="U38" s="116"/>
    </row>
    <row r="39" spans="2:21" ht="12.75">
      <c r="B39" s="121" t="s">
        <v>492</v>
      </c>
      <c r="C39" s="88">
        <v>170</v>
      </c>
      <c r="D39" s="88">
        <v>36</v>
      </c>
      <c r="E39" s="88">
        <v>4.72</v>
      </c>
      <c r="F39" s="88">
        <v>44.2</v>
      </c>
      <c r="G39" s="88">
        <v>5</v>
      </c>
      <c r="H39" s="88">
        <v>62.7</v>
      </c>
      <c r="I39" s="88">
        <v>31.1</v>
      </c>
      <c r="J39" s="115" t="s">
        <v>493</v>
      </c>
      <c r="K39" s="104" t="s">
        <v>494</v>
      </c>
      <c r="L39" s="105">
        <v>789</v>
      </c>
      <c r="M39" s="106">
        <f>L39/C39</f>
        <v>0</v>
      </c>
      <c r="N39" s="107"/>
      <c r="O39" s="105"/>
      <c r="P39" s="116"/>
      <c r="Q39" s="116"/>
      <c r="R39" s="116"/>
      <c r="S39" s="116"/>
      <c r="T39" s="116"/>
      <c r="U39" s="116"/>
    </row>
    <row r="40" spans="10:21" s="92" customFormat="1" ht="12.75">
      <c r="J40" s="118"/>
      <c r="K40" s="110"/>
      <c r="L40" s="119" t="s">
        <v>495</v>
      </c>
      <c r="M40" s="120"/>
      <c r="N40" s="120"/>
      <c r="O40" s="119"/>
      <c r="P40" s="119"/>
      <c r="Q40" s="119"/>
      <c r="R40" s="119"/>
      <c r="S40" s="119"/>
      <c r="T40" s="119"/>
      <c r="U40" s="119"/>
    </row>
    <row r="41" spans="1:21" ht="12.75">
      <c r="A41" s="100" t="s">
        <v>496</v>
      </c>
      <c r="B41" s="121" t="s">
        <v>497</v>
      </c>
      <c r="C41" s="88">
        <v>75</v>
      </c>
      <c r="D41" s="88">
        <v>17.4</v>
      </c>
      <c r="E41" s="88">
        <v>4.88</v>
      </c>
      <c r="F41" s="88">
        <v>21.4</v>
      </c>
      <c r="G41" s="88">
        <v>5.7</v>
      </c>
      <c r="H41" s="88">
        <v>56.93</v>
      </c>
      <c r="I41" s="88">
        <v>22.8</v>
      </c>
      <c r="J41" s="115" t="s">
        <v>498</v>
      </c>
      <c r="K41" s="104" t="s">
        <v>499</v>
      </c>
      <c r="L41" s="105">
        <v>371</v>
      </c>
      <c r="M41" s="106">
        <f>L41/C41</f>
        <v>0</v>
      </c>
      <c r="N41" s="107"/>
      <c r="O41" s="105"/>
      <c r="P41" s="116"/>
      <c r="Q41" s="116"/>
      <c r="R41" s="116"/>
      <c r="S41" s="116"/>
      <c r="T41" s="116"/>
      <c r="U41" s="116"/>
    </row>
    <row r="42" spans="2:21" ht="12.75">
      <c r="B42" s="121" t="s">
        <v>500</v>
      </c>
      <c r="C42" s="88">
        <v>85</v>
      </c>
      <c r="D42" s="88">
        <v>17.4</v>
      </c>
      <c r="E42" s="88">
        <v>5.17</v>
      </c>
      <c r="F42" s="88">
        <v>21.4</v>
      </c>
      <c r="G42" s="88">
        <v>5.9</v>
      </c>
      <c r="H42" s="88">
        <v>56.93</v>
      </c>
      <c r="I42" s="88">
        <v>22.8</v>
      </c>
      <c r="J42" s="115" t="s">
        <v>501</v>
      </c>
      <c r="K42" s="104" t="s">
        <v>502</v>
      </c>
      <c r="L42" s="105">
        <v>371</v>
      </c>
      <c r="M42" s="106">
        <f>L42/C42</f>
        <v>0</v>
      </c>
      <c r="N42" s="107"/>
      <c r="O42" s="105"/>
      <c r="P42" s="116"/>
      <c r="Q42" s="116"/>
      <c r="R42" s="116"/>
      <c r="S42" s="116"/>
      <c r="T42" s="116"/>
      <c r="U42" s="116"/>
    </row>
    <row r="43" spans="2:21" ht="12.75">
      <c r="B43" s="121" t="s">
        <v>503</v>
      </c>
      <c r="C43" s="88">
        <v>90</v>
      </c>
      <c r="D43" s="88">
        <v>17.4</v>
      </c>
      <c r="E43" s="88">
        <v>5.46</v>
      </c>
      <c r="F43" s="88">
        <v>21.4</v>
      </c>
      <c r="G43" s="88">
        <v>6</v>
      </c>
      <c r="H43" s="88">
        <v>56.93</v>
      </c>
      <c r="I43" s="88">
        <v>22.8</v>
      </c>
      <c r="J43" s="115" t="s">
        <v>504</v>
      </c>
      <c r="K43" s="104" t="s">
        <v>505</v>
      </c>
      <c r="L43" s="105">
        <v>393</v>
      </c>
      <c r="M43" s="106">
        <f>L43/C43</f>
        <v>0</v>
      </c>
      <c r="N43" s="107"/>
      <c r="O43" s="105"/>
      <c r="P43" s="116"/>
      <c r="Q43" s="116"/>
      <c r="R43" s="116"/>
      <c r="S43" s="116"/>
      <c r="T43" s="116"/>
      <c r="U43" s="116"/>
    </row>
    <row r="44" spans="2:21" ht="12.75">
      <c r="B44" s="121" t="s">
        <v>506</v>
      </c>
      <c r="C44" s="88">
        <v>115</v>
      </c>
      <c r="D44" s="88">
        <v>16.7</v>
      </c>
      <c r="E44" s="88">
        <v>6.89</v>
      </c>
      <c r="F44" s="88">
        <v>21</v>
      </c>
      <c r="G44" s="88">
        <v>7.7</v>
      </c>
      <c r="H44" s="88">
        <v>56.93</v>
      </c>
      <c r="I44" s="88">
        <v>22.8</v>
      </c>
      <c r="J44" s="115" t="s">
        <v>507</v>
      </c>
      <c r="K44" s="104" t="s">
        <v>508</v>
      </c>
      <c r="L44" s="105">
        <v>499</v>
      </c>
      <c r="M44" s="106">
        <f>L44/C44</f>
        <v>0</v>
      </c>
      <c r="N44" s="107"/>
      <c r="O44" s="105"/>
      <c r="P44" s="116"/>
      <c r="Q44" s="116"/>
      <c r="R44" s="116"/>
      <c r="S44" s="116"/>
      <c r="T44" s="116"/>
      <c r="U44" s="116"/>
    </row>
    <row r="45" spans="2:21" ht="12.75">
      <c r="B45" s="121" t="s">
        <v>509</v>
      </c>
      <c r="C45" s="88">
        <v>120</v>
      </c>
      <c r="D45" s="88">
        <v>16.7</v>
      </c>
      <c r="E45" s="88">
        <v>6.89</v>
      </c>
      <c r="F45" s="88">
        <v>21</v>
      </c>
      <c r="G45" s="88">
        <v>7.7</v>
      </c>
      <c r="H45" s="88">
        <v>56.93</v>
      </c>
      <c r="I45" s="88">
        <v>22.8</v>
      </c>
      <c r="J45" s="115" t="s">
        <v>510</v>
      </c>
      <c r="K45" s="104" t="s">
        <v>511</v>
      </c>
      <c r="L45" s="105">
        <v>525</v>
      </c>
      <c r="M45" s="106">
        <f>L45/C45</f>
        <v>0</v>
      </c>
      <c r="N45" s="107"/>
      <c r="O45" s="105"/>
      <c r="P45" s="116"/>
      <c r="Q45" s="116"/>
      <c r="R45" s="116"/>
      <c r="S45" s="116"/>
      <c r="T45" s="116"/>
      <c r="U45" s="116"/>
    </row>
    <row r="46" spans="10:21" s="92" customFormat="1" ht="12.75">
      <c r="J46" s="118"/>
      <c r="K46" s="110"/>
      <c r="L46" s="119" t="s">
        <v>512</v>
      </c>
      <c r="M46" s="120"/>
      <c r="N46" s="120"/>
      <c r="O46" s="119"/>
      <c r="P46" s="119"/>
      <c r="Q46" s="119"/>
      <c r="R46" s="119"/>
      <c r="S46" s="119"/>
      <c r="T46" s="119"/>
      <c r="U46" s="119"/>
    </row>
    <row r="47" spans="1:21" ht="12.75">
      <c r="A47" s="100" t="s">
        <v>513</v>
      </c>
      <c r="B47" s="121" t="s">
        <v>514</v>
      </c>
      <c r="C47" s="88">
        <v>123</v>
      </c>
      <c r="D47" s="88">
        <v>17.2</v>
      </c>
      <c r="E47" s="88">
        <v>7.16</v>
      </c>
      <c r="F47" s="88">
        <v>21.3</v>
      </c>
      <c r="G47" s="88">
        <v>8.12</v>
      </c>
      <c r="H47" s="88">
        <v>59.06</v>
      </c>
      <c r="I47" s="88">
        <v>26.08</v>
      </c>
      <c r="J47" s="115" t="s">
        <v>515</v>
      </c>
      <c r="K47" s="104" t="s">
        <v>516</v>
      </c>
      <c r="L47" s="105">
        <v>479</v>
      </c>
      <c r="M47" s="106">
        <f>L47/C47</f>
        <v>0</v>
      </c>
      <c r="N47" s="107"/>
      <c r="O47" s="105"/>
      <c r="P47" s="116"/>
      <c r="Q47" s="116"/>
      <c r="R47" s="116"/>
      <c r="S47" s="116"/>
      <c r="T47" s="116"/>
      <c r="U47" s="116"/>
    </row>
    <row r="48" spans="2:21" ht="12.75">
      <c r="B48" s="121" t="s">
        <v>517</v>
      </c>
      <c r="C48" s="88">
        <v>80</v>
      </c>
      <c r="D48" s="88">
        <v>17.1</v>
      </c>
      <c r="E48" s="88">
        <v>4.67</v>
      </c>
      <c r="F48" s="88">
        <v>21.3</v>
      </c>
      <c r="G48" s="88">
        <v>5.31</v>
      </c>
      <c r="H48" s="88">
        <v>47.28</v>
      </c>
      <c r="I48" s="88">
        <v>20.88</v>
      </c>
      <c r="J48" s="115" t="s">
        <v>518</v>
      </c>
      <c r="K48" s="104" t="s">
        <v>519</v>
      </c>
      <c r="L48" s="105">
        <v>0</v>
      </c>
      <c r="M48" s="106">
        <f>L48/C48</f>
        <v>0</v>
      </c>
      <c r="N48" s="107"/>
      <c r="O48" s="105"/>
      <c r="Q48" s="116"/>
      <c r="R48" s="116"/>
      <c r="S48" s="116"/>
      <c r="T48" s="116"/>
      <c r="U48" s="116"/>
    </row>
    <row r="49" spans="2:21" ht="12.75">
      <c r="B49" s="121" t="s">
        <v>520</v>
      </c>
      <c r="C49" s="88">
        <v>165</v>
      </c>
      <c r="D49" s="88">
        <v>34.6</v>
      </c>
      <c r="E49" s="88">
        <v>4.77</v>
      </c>
      <c r="F49" s="88">
        <v>43.1</v>
      </c>
      <c r="G49" s="88">
        <v>5.46</v>
      </c>
      <c r="H49" s="88">
        <v>66.98</v>
      </c>
      <c r="I49" s="88">
        <v>38.22</v>
      </c>
      <c r="J49" s="115" t="s">
        <v>521</v>
      </c>
      <c r="K49" s="104" t="s">
        <v>522</v>
      </c>
      <c r="L49" s="105">
        <v>545</v>
      </c>
      <c r="M49" s="106">
        <f>L49/C49</f>
        <v>0</v>
      </c>
      <c r="N49" s="107"/>
      <c r="O49" s="105"/>
      <c r="Q49" s="116"/>
      <c r="R49" s="116"/>
      <c r="S49" s="116"/>
      <c r="T49" s="116"/>
      <c r="U49" s="116"/>
    </row>
    <row r="50" spans="2:21" ht="12.75">
      <c r="B50" s="121" t="s">
        <v>523</v>
      </c>
      <c r="C50" s="88">
        <v>175</v>
      </c>
      <c r="D50" s="88">
        <v>35.4</v>
      </c>
      <c r="E50" s="88">
        <v>4.95</v>
      </c>
      <c r="F50" s="88">
        <v>44.4</v>
      </c>
      <c r="G50" s="88">
        <v>5.55</v>
      </c>
      <c r="H50" s="88">
        <v>62.05</v>
      </c>
      <c r="I50" s="88">
        <v>32.44</v>
      </c>
      <c r="J50" s="115" t="s">
        <v>524</v>
      </c>
      <c r="K50" s="104" t="s">
        <v>525</v>
      </c>
      <c r="L50" s="105">
        <v>578</v>
      </c>
      <c r="M50" s="106">
        <f>L50/C50</f>
        <v>0</v>
      </c>
      <c r="N50" s="107"/>
      <c r="O50" s="105"/>
      <c r="Q50" s="116"/>
      <c r="R50" s="116"/>
      <c r="S50" s="116"/>
      <c r="T50" s="116"/>
      <c r="U50" s="116"/>
    </row>
    <row r="51" spans="2:21" ht="12.75">
      <c r="B51" s="121" t="s">
        <v>526</v>
      </c>
      <c r="C51" s="88">
        <v>185</v>
      </c>
      <c r="D51" s="88">
        <v>36.2</v>
      </c>
      <c r="E51" s="88">
        <v>5.11</v>
      </c>
      <c r="F51" s="88">
        <v>44.9</v>
      </c>
      <c r="G51" s="88">
        <v>5.75</v>
      </c>
      <c r="H51" s="88">
        <v>62.05</v>
      </c>
      <c r="I51" s="88">
        <v>32.52</v>
      </c>
      <c r="J51" s="115" t="s">
        <v>527</v>
      </c>
      <c r="K51" s="104" t="s">
        <v>528</v>
      </c>
      <c r="L51" s="105">
        <v>611</v>
      </c>
      <c r="M51" s="106">
        <f>L51/C51</f>
        <v>0</v>
      </c>
      <c r="N51" s="107"/>
      <c r="O51" s="105"/>
      <c r="Q51" s="116"/>
      <c r="R51" s="116"/>
      <c r="S51" s="116"/>
      <c r="T51" s="116"/>
      <c r="U51" s="116"/>
    </row>
    <row r="52" spans="10:11" s="92" customFormat="1" ht="12.75">
      <c r="J52" s="118"/>
      <c r="K52" s="118"/>
    </row>
    <row r="53" spans="1:16" ht="12.75">
      <c r="A53" s="100" t="s">
        <v>529</v>
      </c>
      <c r="B53" s="121" t="s">
        <v>530</v>
      </c>
      <c r="C53" s="88">
        <v>80</v>
      </c>
      <c r="D53" s="88">
        <v>17.3</v>
      </c>
      <c r="E53" s="88">
        <v>4.6</v>
      </c>
      <c r="F53" s="88">
        <v>21.9</v>
      </c>
      <c r="G53" s="88">
        <v>5</v>
      </c>
      <c r="H53" s="88">
        <v>48.7</v>
      </c>
      <c r="I53" s="88">
        <v>21.9</v>
      </c>
      <c r="J53" s="115" t="s">
        <v>531</v>
      </c>
      <c r="K53" s="115" t="s">
        <v>532</v>
      </c>
      <c r="L53" s="105">
        <v>419</v>
      </c>
      <c r="M53" s="106">
        <f>L53/C53</f>
        <v>0</v>
      </c>
      <c r="O53" s="105"/>
      <c r="P53" s="116"/>
    </row>
    <row r="54" spans="2:16" ht="12.75">
      <c r="B54" s="121" t="s">
        <v>533</v>
      </c>
      <c r="C54" s="88">
        <v>100</v>
      </c>
      <c r="D54" s="88">
        <v>17.2</v>
      </c>
      <c r="E54" s="88">
        <v>5.8</v>
      </c>
      <c r="F54" s="88">
        <v>21.6</v>
      </c>
      <c r="G54" s="88">
        <v>6</v>
      </c>
      <c r="H54" s="88">
        <v>52.6</v>
      </c>
      <c r="I54" s="88">
        <v>26.5</v>
      </c>
      <c r="J54" s="115" t="s">
        <v>534</v>
      </c>
      <c r="K54" s="115" t="s">
        <v>535</v>
      </c>
      <c r="L54" s="105">
        <v>520</v>
      </c>
      <c r="M54" s="106">
        <f>L54/C54</f>
        <v>0</v>
      </c>
      <c r="O54" s="105"/>
      <c r="P54" s="116"/>
    </row>
    <row r="55" spans="10:14" s="92" customFormat="1" ht="12.75">
      <c r="J55" s="118"/>
      <c r="K55" s="118"/>
      <c r="N55" s="119"/>
    </row>
    <row r="56" spans="1:16" ht="12.75">
      <c r="A56" s="100" t="s">
        <v>536</v>
      </c>
      <c r="B56" s="121" t="s">
        <v>537</v>
      </c>
      <c r="C56" s="88">
        <v>55</v>
      </c>
      <c r="D56" s="88">
        <v>16.1</v>
      </c>
      <c r="E56" s="88">
        <v>3.42</v>
      </c>
      <c r="F56" s="88">
        <v>20</v>
      </c>
      <c r="G56" s="88">
        <v>3.9</v>
      </c>
      <c r="H56" s="88">
        <v>32.1</v>
      </c>
      <c r="I56" s="88">
        <v>25.7</v>
      </c>
      <c r="J56" s="115" t="s">
        <v>538</v>
      </c>
      <c r="K56" s="115" t="s">
        <v>539</v>
      </c>
      <c r="L56" s="105">
        <v>299</v>
      </c>
      <c r="M56" s="106">
        <f>L56/C56</f>
        <v>0</v>
      </c>
      <c r="N56" s="116"/>
      <c r="O56" s="105"/>
      <c r="P56" s="116"/>
    </row>
    <row r="57" spans="2:16" ht="12.75">
      <c r="B57" s="121" t="s">
        <v>540</v>
      </c>
      <c r="C57" s="88">
        <v>110</v>
      </c>
      <c r="D57" s="88">
        <v>16.1</v>
      </c>
      <c r="E57" s="88">
        <v>6.84</v>
      </c>
      <c r="F57" s="88">
        <v>20</v>
      </c>
      <c r="G57" s="88">
        <v>7.8</v>
      </c>
      <c r="H57" s="88">
        <v>62.4</v>
      </c>
      <c r="I57" s="88">
        <v>25.7</v>
      </c>
      <c r="J57" s="115" t="s">
        <v>541</v>
      </c>
      <c r="K57" s="115" t="s">
        <v>542</v>
      </c>
      <c r="L57" s="105">
        <v>559</v>
      </c>
      <c r="M57" s="106">
        <f>L57/C57</f>
        <v>0</v>
      </c>
      <c r="N57" s="116"/>
      <c r="O57" s="105"/>
      <c r="P57" s="116"/>
    </row>
    <row r="58" s="92" customFormat="1" ht="12.75">
      <c r="N58" s="119"/>
    </row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3">
      <selection activeCell="G34" sqref="G34"/>
    </sheetView>
  </sheetViews>
  <sheetFormatPr defaultColWidth="11.421875" defaultRowHeight="12.75"/>
  <cols>
    <col min="1" max="256" width="11.28125" style="0" customWidth="1"/>
  </cols>
  <sheetData>
    <row r="1" spans="1:6" ht="17.25">
      <c r="A1" s="82"/>
      <c r="B1" s="54"/>
      <c r="C1" s="122" t="s">
        <v>543</v>
      </c>
      <c r="F1" s="123"/>
    </row>
    <row r="2" ht="12.75">
      <c r="B2" s="54"/>
    </row>
    <row r="3" spans="2:7" ht="12.75">
      <c r="B3" s="124" t="s">
        <v>544</v>
      </c>
      <c r="C3" s="82" t="s">
        <v>545</v>
      </c>
      <c r="D3" s="125" t="s">
        <v>546</v>
      </c>
      <c r="E3" s="82" t="s">
        <v>547</v>
      </c>
      <c r="F3" s="82" t="s">
        <v>548</v>
      </c>
      <c r="G3" s="82" t="s">
        <v>549</v>
      </c>
    </row>
    <row r="4" spans="1:8" ht="12.75">
      <c r="A4" s="82" t="s">
        <v>550</v>
      </c>
      <c r="B4" s="54">
        <v>812</v>
      </c>
      <c r="C4" s="54" t="s">
        <v>551</v>
      </c>
      <c r="D4">
        <v>575</v>
      </c>
      <c r="E4">
        <v>12</v>
      </c>
      <c r="F4" s="123" t="s">
        <v>552</v>
      </c>
      <c r="G4" s="116">
        <v>650</v>
      </c>
      <c r="H4" s="126">
        <f>(G4/D4)</f>
        <v>0</v>
      </c>
    </row>
    <row r="5" spans="1:8" ht="12.75">
      <c r="A5" s="82"/>
      <c r="B5" s="54" t="s">
        <v>553</v>
      </c>
      <c r="C5" t="s">
        <v>554</v>
      </c>
      <c r="D5">
        <v>1500</v>
      </c>
      <c r="E5">
        <v>12</v>
      </c>
      <c r="F5" s="123" t="s">
        <v>555</v>
      </c>
      <c r="G5" s="116">
        <v>950</v>
      </c>
      <c r="H5" s="126">
        <f>(G5/D5)</f>
        <v>0</v>
      </c>
    </row>
    <row r="6" spans="2:8" ht="12.75">
      <c r="B6" s="54" t="s">
        <v>556</v>
      </c>
      <c r="C6" t="s">
        <v>557</v>
      </c>
      <c r="D6">
        <v>2400</v>
      </c>
      <c r="E6">
        <v>12</v>
      </c>
      <c r="F6" s="123" t="s">
        <v>558</v>
      </c>
      <c r="G6" s="116">
        <v>1285</v>
      </c>
      <c r="H6" s="126">
        <f>(G6/D6)</f>
        <v>0</v>
      </c>
    </row>
    <row r="7" spans="2:8" ht="12.75">
      <c r="B7" s="54">
        <v>2512</v>
      </c>
      <c r="C7" s="54" t="s">
        <v>559</v>
      </c>
      <c r="D7">
        <v>2500</v>
      </c>
      <c r="E7">
        <v>12</v>
      </c>
      <c r="F7" s="123" t="s">
        <v>560</v>
      </c>
      <c r="G7" s="116">
        <v>1575</v>
      </c>
      <c r="H7" s="126">
        <f>(G7/D7)</f>
        <v>0</v>
      </c>
    </row>
    <row r="8" spans="2:8" ht="12.75">
      <c r="B8" s="54" t="s">
        <v>561</v>
      </c>
      <c r="C8" t="s">
        <v>562</v>
      </c>
      <c r="D8">
        <v>2500</v>
      </c>
      <c r="E8">
        <v>12</v>
      </c>
      <c r="F8" s="123" t="s">
        <v>563</v>
      </c>
      <c r="G8" s="116">
        <v>2485</v>
      </c>
      <c r="H8" s="126">
        <f>(G8/D8)</f>
        <v>0</v>
      </c>
    </row>
    <row r="9" spans="2:8" ht="12.75">
      <c r="B9" s="54">
        <v>724</v>
      </c>
      <c r="C9" s="54" t="s">
        <v>564</v>
      </c>
      <c r="D9">
        <v>425</v>
      </c>
      <c r="E9">
        <v>24</v>
      </c>
      <c r="F9" s="123" t="s">
        <v>565</v>
      </c>
      <c r="G9" s="116">
        <v>725</v>
      </c>
      <c r="H9" s="126">
        <f>(G9/D9)</f>
        <v>0</v>
      </c>
    </row>
    <row r="10" spans="2:8" ht="12.75">
      <c r="B10" s="54" t="s">
        <v>566</v>
      </c>
      <c r="C10" t="s">
        <v>567</v>
      </c>
      <c r="D10">
        <v>1500</v>
      </c>
      <c r="E10">
        <v>24</v>
      </c>
      <c r="F10" s="123" t="s">
        <v>568</v>
      </c>
      <c r="G10" s="116">
        <v>895</v>
      </c>
      <c r="H10" s="126">
        <f>(G10/D10)</f>
        <v>0</v>
      </c>
    </row>
    <row r="11" spans="1:8" ht="12.75">
      <c r="A11" s="82"/>
      <c r="B11" s="54" t="s">
        <v>569</v>
      </c>
      <c r="C11" t="s">
        <v>570</v>
      </c>
      <c r="D11">
        <v>2400</v>
      </c>
      <c r="E11">
        <v>24</v>
      </c>
      <c r="F11" s="123" t="s">
        <v>571</v>
      </c>
      <c r="G11" s="116">
        <v>1225</v>
      </c>
      <c r="H11" s="126">
        <f>(G11/D11)</f>
        <v>0</v>
      </c>
    </row>
    <row r="12" spans="1:8" ht="12.75">
      <c r="A12" s="82"/>
      <c r="B12" s="54" t="s">
        <v>572</v>
      </c>
      <c r="C12" t="s">
        <v>573</v>
      </c>
      <c r="D12">
        <v>3600</v>
      </c>
      <c r="E12">
        <v>24</v>
      </c>
      <c r="F12" s="123" t="s">
        <v>574</v>
      </c>
      <c r="G12" s="116">
        <v>1475</v>
      </c>
      <c r="H12" s="126">
        <f>(G12/D12)</f>
        <v>0</v>
      </c>
    </row>
    <row r="13" spans="2:8" ht="12.75">
      <c r="B13" s="54">
        <v>2232</v>
      </c>
      <c r="C13" s="54" t="s">
        <v>575</v>
      </c>
      <c r="D13">
        <v>2200</v>
      </c>
      <c r="E13">
        <v>24</v>
      </c>
      <c r="F13" s="123" t="s">
        <v>576</v>
      </c>
      <c r="G13" s="116">
        <v>1900</v>
      </c>
      <c r="H13" s="126">
        <f>(G13/D13)</f>
        <v>0</v>
      </c>
    </row>
    <row r="14" spans="1:8" ht="12.75">
      <c r="A14" s="82"/>
      <c r="B14" s="54">
        <v>2536</v>
      </c>
      <c r="C14" t="s">
        <v>577</v>
      </c>
      <c r="D14">
        <v>2500</v>
      </c>
      <c r="E14">
        <v>24</v>
      </c>
      <c r="F14" s="123" t="s">
        <v>578</v>
      </c>
      <c r="G14" s="116">
        <v>1950</v>
      </c>
      <c r="H14" s="126">
        <f>(G14/D14)</f>
        <v>0</v>
      </c>
    </row>
    <row r="15" spans="2:8" ht="12.75">
      <c r="B15" s="54">
        <v>2548</v>
      </c>
      <c r="C15" s="54" t="s">
        <v>579</v>
      </c>
      <c r="D15">
        <v>2500</v>
      </c>
      <c r="E15">
        <v>24</v>
      </c>
      <c r="F15" s="123" t="s">
        <v>580</v>
      </c>
      <c r="G15" s="116">
        <v>1995</v>
      </c>
      <c r="H15" s="126">
        <f>(G15/D15)</f>
        <v>0</v>
      </c>
    </row>
    <row r="16" spans="2:8" ht="12.75">
      <c r="B16" s="54" t="s">
        <v>581</v>
      </c>
      <c r="C16" t="s">
        <v>582</v>
      </c>
      <c r="D16">
        <v>4000</v>
      </c>
      <c r="E16">
        <v>24</v>
      </c>
      <c r="F16" s="123" t="s">
        <v>583</v>
      </c>
      <c r="G16" s="116">
        <v>3185</v>
      </c>
      <c r="H16" s="126">
        <f>(G16/D16)</f>
        <v>0</v>
      </c>
    </row>
    <row r="17" spans="1:8" ht="12.75">
      <c r="A17" s="82"/>
      <c r="B17" s="54" t="s">
        <v>584</v>
      </c>
      <c r="C17" t="s">
        <v>585</v>
      </c>
      <c r="D17">
        <v>4000</v>
      </c>
      <c r="E17">
        <v>48</v>
      </c>
      <c r="F17" s="123" t="s">
        <v>586</v>
      </c>
      <c r="G17" s="116">
        <v>3185</v>
      </c>
      <c r="H17" s="126">
        <f>(G17/D17)</f>
        <v>0</v>
      </c>
    </row>
    <row r="18" spans="1:8" ht="12.75">
      <c r="A18" s="82"/>
      <c r="B18" s="54" t="s">
        <v>587</v>
      </c>
      <c r="C18" t="s">
        <v>588</v>
      </c>
      <c r="D18">
        <v>5500</v>
      </c>
      <c r="E18">
        <v>48</v>
      </c>
      <c r="F18" s="123" t="s">
        <v>589</v>
      </c>
      <c r="G18" s="116">
        <v>3680</v>
      </c>
      <c r="H18" s="126">
        <f>(G18/D18)</f>
        <v>0</v>
      </c>
    </row>
    <row r="19" spans="1:7" ht="12.75">
      <c r="A19" s="82"/>
      <c r="B19" s="54"/>
      <c r="G19" s="116"/>
    </row>
    <row r="20" spans="1:8" ht="12.75">
      <c r="A20" s="82" t="s">
        <v>590</v>
      </c>
      <c r="B20" s="54" t="s">
        <v>591</v>
      </c>
      <c r="C20" t="s">
        <v>592</v>
      </c>
      <c r="D20">
        <v>1000</v>
      </c>
      <c r="E20">
        <v>24</v>
      </c>
      <c r="F20" s="123" t="s">
        <v>593</v>
      </c>
      <c r="G20" s="116">
        <v>1095</v>
      </c>
      <c r="H20" s="126">
        <f>(G20/D20)</f>
        <v>0</v>
      </c>
    </row>
    <row r="21" spans="1:8" ht="12.75">
      <c r="A21" s="82"/>
      <c r="B21" s="54" t="s">
        <v>594</v>
      </c>
      <c r="C21" t="s">
        <v>595</v>
      </c>
      <c r="D21">
        <v>2000</v>
      </c>
      <c r="E21">
        <v>24</v>
      </c>
      <c r="F21" s="123" t="s">
        <v>596</v>
      </c>
      <c r="G21" s="116">
        <v>1650</v>
      </c>
      <c r="H21" s="126">
        <f>(G21/D21)</f>
        <v>0</v>
      </c>
    </row>
    <row r="22" spans="1:8" ht="12.75">
      <c r="A22" s="82"/>
      <c r="B22" s="54" t="s">
        <v>597</v>
      </c>
      <c r="C22" t="s">
        <v>598</v>
      </c>
      <c r="D22">
        <v>2500</v>
      </c>
      <c r="E22">
        <v>24</v>
      </c>
      <c r="F22" s="123" t="s">
        <v>599</v>
      </c>
      <c r="G22" s="116">
        <v>1890</v>
      </c>
      <c r="H22" s="126">
        <f>(G22/D22)</f>
        <v>0</v>
      </c>
    </row>
    <row r="23" spans="1:8" ht="12.75">
      <c r="A23" s="82"/>
      <c r="B23" s="54" t="s">
        <v>600</v>
      </c>
      <c r="C23" t="s">
        <v>601</v>
      </c>
      <c r="D23">
        <v>300</v>
      </c>
      <c r="E23">
        <v>24</v>
      </c>
      <c r="F23" s="123" t="s">
        <v>602</v>
      </c>
      <c r="G23" s="116">
        <v>600</v>
      </c>
      <c r="H23" s="126">
        <f>(G23/D23)</f>
        <v>0</v>
      </c>
    </row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E22" sqref="E22"/>
    </sheetView>
  </sheetViews>
  <sheetFormatPr defaultColWidth="11.421875" defaultRowHeight="12.75"/>
  <cols>
    <col min="1" max="256" width="11.28125" style="0" customWidth="1"/>
  </cols>
  <sheetData>
    <row r="1" spans="3:7" ht="17.25">
      <c r="C1" s="122" t="s">
        <v>603</v>
      </c>
      <c r="G1" s="116"/>
    </row>
    <row r="2" spans="2:9" ht="12.75">
      <c r="B2" s="82" t="s">
        <v>604</v>
      </c>
      <c r="C2" s="82" t="s">
        <v>605</v>
      </c>
      <c r="D2" s="82" t="s">
        <v>606</v>
      </c>
      <c r="E2" s="82" t="s">
        <v>607</v>
      </c>
      <c r="F2" s="82" t="s">
        <v>608</v>
      </c>
      <c r="G2" s="82" t="s">
        <v>609</v>
      </c>
      <c r="H2" s="82" t="s">
        <v>610</v>
      </c>
      <c r="I2" s="127"/>
    </row>
    <row r="3" spans="1:8" ht="12.75">
      <c r="A3" s="82" t="s">
        <v>611</v>
      </c>
      <c r="B3" s="54" t="s">
        <v>612</v>
      </c>
      <c r="C3" t="s">
        <v>613</v>
      </c>
      <c r="D3">
        <v>4000</v>
      </c>
      <c r="E3">
        <v>200</v>
      </c>
      <c r="F3">
        <v>24</v>
      </c>
      <c r="G3" s="116">
        <v>4995</v>
      </c>
      <c r="H3" t="s">
        <v>614</v>
      </c>
    </row>
    <row r="4" spans="2:8" ht="12.75">
      <c r="B4" s="54" t="s">
        <v>615</v>
      </c>
      <c r="C4" t="s">
        <v>616</v>
      </c>
      <c r="D4">
        <v>4000</v>
      </c>
      <c r="E4">
        <v>200</v>
      </c>
      <c r="F4">
        <v>48</v>
      </c>
      <c r="G4" s="116">
        <v>4995</v>
      </c>
      <c r="H4" t="s">
        <v>617</v>
      </c>
    </row>
    <row r="5" spans="2:8" ht="12.75">
      <c r="B5" s="54" t="s">
        <v>618</v>
      </c>
      <c r="C5" t="s">
        <v>619</v>
      </c>
      <c r="D5">
        <v>5500</v>
      </c>
      <c r="E5">
        <v>200</v>
      </c>
      <c r="F5">
        <v>48</v>
      </c>
      <c r="G5" s="116">
        <v>5695</v>
      </c>
      <c r="H5" t="s">
        <v>620</v>
      </c>
    </row>
    <row r="6" spans="2:8" ht="12.75">
      <c r="B6" s="54" t="s">
        <v>621</v>
      </c>
      <c r="C6" t="s">
        <v>622</v>
      </c>
      <c r="D6">
        <v>4000</v>
      </c>
      <c r="E6">
        <v>200</v>
      </c>
      <c r="F6">
        <v>24</v>
      </c>
      <c r="G6" s="116">
        <v>8995</v>
      </c>
      <c r="H6" t="s">
        <v>623</v>
      </c>
    </row>
    <row r="7" spans="2:8" ht="12.75">
      <c r="B7" s="54" t="s">
        <v>624</v>
      </c>
      <c r="C7" t="s">
        <v>625</v>
      </c>
      <c r="D7">
        <v>4000</v>
      </c>
      <c r="E7">
        <v>200</v>
      </c>
      <c r="F7">
        <v>48</v>
      </c>
      <c r="G7" s="116">
        <v>9137</v>
      </c>
      <c r="H7" t="s">
        <v>626</v>
      </c>
    </row>
    <row r="8" spans="2:8" ht="12.75">
      <c r="B8" s="54" t="s">
        <v>627</v>
      </c>
      <c r="C8" t="s">
        <v>628</v>
      </c>
      <c r="D8">
        <v>5500</v>
      </c>
      <c r="E8">
        <v>200</v>
      </c>
      <c r="F8">
        <v>48</v>
      </c>
      <c r="G8" s="116">
        <v>9995</v>
      </c>
      <c r="H8" t="s">
        <v>629</v>
      </c>
    </row>
    <row r="9" spans="2:8" ht="12.75">
      <c r="B9" s="54" t="s">
        <v>630</v>
      </c>
      <c r="C9" t="s">
        <v>631</v>
      </c>
      <c r="D9">
        <v>1500</v>
      </c>
      <c r="E9">
        <v>100</v>
      </c>
      <c r="F9">
        <v>12</v>
      </c>
      <c r="G9" s="116">
        <v>1979</v>
      </c>
      <c r="H9" t="s">
        <v>632</v>
      </c>
    </row>
    <row r="10" spans="2:8" ht="12.75">
      <c r="B10" s="54" t="s">
        <v>633</v>
      </c>
      <c r="C10" t="s">
        <v>634</v>
      </c>
      <c r="D10">
        <v>1200</v>
      </c>
      <c r="E10">
        <v>100</v>
      </c>
      <c r="F10">
        <v>12</v>
      </c>
      <c r="G10" s="116">
        <v>3637</v>
      </c>
      <c r="H10" t="s">
        <v>635</v>
      </c>
    </row>
    <row r="11" spans="2:8" ht="12.75">
      <c r="B11" t="s">
        <v>636</v>
      </c>
      <c r="C11" t="s">
        <v>637</v>
      </c>
      <c r="D11">
        <v>2400</v>
      </c>
      <c r="E11">
        <v>100</v>
      </c>
      <c r="F11">
        <v>12</v>
      </c>
      <c r="G11" s="116">
        <v>2295</v>
      </c>
      <c r="H11" t="s">
        <v>638</v>
      </c>
    </row>
    <row r="12" spans="2:8" ht="12.75">
      <c r="B12" t="s">
        <v>639</v>
      </c>
      <c r="C12" t="s">
        <v>640</v>
      </c>
      <c r="D12">
        <v>2400</v>
      </c>
      <c r="E12">
        <v>100</v>
      </c>
      <c r="F12">
        <v>12</v>
      </c>
      <c r="G12" s="116">
        <v>4337</v>
      </c>
      <c r="H12" t="s">
        <v>641</v>
      </c>
    </row>
    <row r="13" spans="2:8" ht="12.75">
      <c r="B13" t="s">
        <v>642</v>
      </c>
      <c r="C13" t="s">
        <v>643</v>
      </c>
      <c r="D13">
        <v>1500</v>
      </c>
      <c r="E13">
        <v>100</v>
      </c>
      <c r="F13">
        <v>24</v>
      </c>
      <c r="G13" s="116">
        <v>1879</v>
      </c>
      <c r="H13" t="s">
        <v>644</v>
      </c>
    </row>
    <row r="14" spans="2:8" ht="12.75">
      <c r="B14" t="s">
        <v>645</v>
      </c>
      <c r="C14" t="s">
        <v>646</v>
      </c>
      <c r="D14">
        <v>1500</v>
      </c>
      <c r="E14">
        <v>100</v>
      </c>
      <c r="F14">
        <v>24</v>
      </c>
      <c r="G14" s="116">
        <v>3529</v>
      </c>
      <c r="H14" t="s">
        <v>647</v>
      </c>
    </row>
    <row r="15" spans="2:8" ht="12.75">
      <c r="B15" t="s">
        <v>648</v>
      </c>
      <c r="C15" t="s">
        <v>649</v>
      </c>
      <c r="D15">
        <v>2400</v>
      </c>
      <c r="E15">
        <v>100</v>
      </c>
      <c r="F15">
        <v>24</v>
      </c>
      <c r="G15" s="116">
        <v>2295</v>
      </c>
      <c r="H15" t="s">
        <v>650</v>
      </c>
    </row>
    <row r="16" ht="12.75"/>
    <row r="17" ht="17.25">
      <c r="D17" s="122" t="s">
        <v>651</v>
      </c>
    </row>
    <row r="18" ht="12.75">
      <c r="A18" s="82" t="s">
        <v>652</v>
      </c>
    </row>
    <row r="19" spans="2:7" ht="12.75">
      <c r="B19" t="s">
        <v>653</v>
      </c>
      <c r="C19">
        <v>25010</v>
      </c>
      <c r="E19">
        <v>175</v>
      </c>
      <c r="F19">
        <v>24</v>
      </c>
      <c r="G19" s="116">
        <v>310</v>
      </c>
    </row>
    <row r="20" spans="2:7" ht="12.75">
      <c r="B20" t="s">
        <v>654</v>
      </c>
      <c r="C20">
        <v>25011</v>
      </c>
      <c r="E20">
        <v>250</v>
      </c>
      <c r="F20">
        <v>24</v>
      </c>
      <c r="G20" s="116">
        <v>310</v>
      </c>
    </row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1">
      <selection activeCell="B4" sqref="B4"/>
    </sheetView>
  </sheetViews>
  <sheetFormatPr defaultColWidth="11.421875" defaultRowHeight="12.75"/>
  <cols>
    <col min="1" max="256" width="11.28125" style="0" customWidth="1"/>
  </cols>
  <sheetData>
    <row r="1" spans="1:5" ht="17.25">
      <c r="A1" s="82"/>
      <c r="B1" s="54"/>
      <c r="D1" s="122" t="s">
        <v>655</v>
      </c>
      <c r="E1" s="128"/>
    </row>
    <row r="2" spans="1:2" ht="12.75">
      <c r="A2" s="82"/>
      <c r="B2" s="54"/>
    </row>
    <row r="3" spans="1:6" ht="12.75">
      <c r="A3" s="82"/>
      <c r="B3" s="124" t="s">
        <v>656</v>
      </c>
      <c r="C3" s="82" t="s">
        <v>657</v>
      </c>
      <c r="D3" s="82" t="s">
        <v>658</v>
      </c>
      <c r="E3" s="82" t="s">
        <v>659</v>
      </c>
      <c r="F3" s="82" t="s">
        <v>660</v>
      </c>
    </row>
    <row r="4" spans="1:6" ht="12.75">
      <c r="A4" s="82" t="s">
        <v>661</v>
      </c>
      <c r="B4" s="54">
        <v>15101</v>
      </c>
      <c r="C4">
        <v>215</v>
      </c>
      <c r="D4">
        <v>6</v>
      </c>
      <c r="E4" s="116">
        <v>80</v>
      </c>
      <c r="F4" s="126">
        <f>(E4/C4)*(12/D4)</f>
        <v>0</v>
      </c>
    </row>
    <row r="5" spans="1:6" ht="12.75">
      <c r="A5" s="82"/>
      <c r="B5" s="54"/>
      <c r="E5" s="116"/>
      <c r="F5" s="126"/>
    </row>
    <row r="6" spans="1:6" ht="12.75">
      <c r="A6" s="82" t="s">
        <v>662</v>
      </c>
      <c r="B6" s="54">
        <v>15102</v>
      </c>
      <c r="C6">
        <v>370</v>
      </c>
      <c r="D6">
        <v>6</v>
      </c>
      <c r="E6" s="116">
        <v>199</v>
      </c>
      <c r="F6" s="126">
        <f>(E6/C6)*(12/D6)</f>
        <v>0</v>
      </c>
    </row>
    <row r="7" spans="1:6" ht="12.75">
      <c r="A7" s="82"/>
      <c r="B7" s="54"/>
      <c r="E7" s="116"/>
      <c r="F7" s="79"/>
    </row>
    <row r="8" spans="1:6" ht="12.75">
      <c r="A8" s="82" t="s">
        <v>663</v>
      </c>
      <c r="B8" s="54">
        <v>15210</v>
      </c>
      <c r="C8">
        <v>32</v>
      </c>
      <c r="D8">
        <v>12</v>
      </c>
      <c r="E8" s="116">
        <v>69</v>
      </c>
      <c r="F8" s="126">
        <f>(E8/C8)*(12/D8)</f>
        <v>0</v>
      </c>
    </row>
    <row r="9" spans="1:6" ht="12.75">
      <c r="A9" s="82"/>
      <c r="B9" s="54">
        <v>15211</v>
      </c>
      <c r="C9">
        <v>51</v>
      </c>
      <c r="D9">
        <v>12</v>
      </c>
      <c r="E9" s="116">
        <v>119</v>
      </c>
      <c r="F9" s="126">
        <f>(E9/C9)*(12/D9)</f>
        <v>0</v>
      </c>
    </row>
    <row r="10" spans="1:6" ht="12.75">
      <c r="A10" s="82"/>
      <c r="B10" s="54">
        <v>15212</v>
      </c>
      <c r="C10">
        <v>74</v>
      </c>
      <c r="D10">
        <v>12</v>
      </c>
      <c r="E10" s="116">
        <v>149</v>
      </c>
      <c r="F10" s="126">
        <f>(E10/C10)*(12/D10)</f>
        <v>0</v>
      </c>
    </row>
    <row r="11" spans="1:6" ht="12.75">
      <c r="A11" s="82"/>
      <c r="B11" s="54">
        <v>15213</v>
      </c>
      <c r="C11">
        <v>86</v>
      </c>
      <c r="D11">
        <v>12</v>
      </c>
      <c r="E11" s="116">
        <v>159</v>
      </c>
      <c r="F11" s="126">
        <f>(E11/C11)*(12/D11)</f>
        <v>0</v>
      </c>
    </row>
    <row r="12" spans="1:6" ht="12.75">
      <c r="A12" s="82"/>
      <c r="B12" s="54">
        <v>15214</v>
      </c>
      <c r="C12">
        <v>98</v>
      </c>
      <c r="D12">
        <v>12</v>
      </c>
      <c r="E12" s="116">
        <v>189</v>
      </c>
      <c r="F12" s="126">
        <f>(E12/C12)*(12/D12)</f>
        <v>0</v>
      </c>
    </row>
    <row r="13" spans="1:6" ht="12.75">
      <c r="A13" s="82"/>
      <c r="B13" s="54">
        <v>15215</v>
      </c>
      <c r="C13">
        <v>183</v>
      </c>
      <c r="D13">
        <v>12</v>
      </c>
      <c r="E13" s="116">
        <v>339</v>
      </c>
      <c r="F13" s="126">
        <f>(E13/C13)*(12/D13)</f>
        <v>0</v>
      </c>
    </row>
    <row r="14" spans="1:6" ht="12.75">
      <c r="A14" s="82"/>
      <c r="B14" s="54">
        <v>15216</v>
      </c>
      <c r="C14">
        <v>225</v>
      </c>
      <c r="D14">
        <v>12</v>
      </c>
      <c r="E14" s="116">
        <v>399</v>
      </c>
      <c r="F14" s="126">
        <f>(E14/C14)*(12/D14)</f>
        <v>0</v>
      </c>
    </row>
    <row r="15" spans="1:6" ht="12.75">
      <c r="A15" s="82"/>
      <c r="B15" s="54">
        <v>15217</v>
      </c>
      <c r="C15">
        <v>180</v>
      </c>
      <c r="D15">
        <v>6</v>
      </c>
      <c r="E15" s="116">
        <v>189</v>
      </c>
      <c r="F15" s="126">
        <f>(E15/C15)*(12/D15)</f>
        <v>0</v>
      </c>
    </row>
    <row r="16" spans="1:6" ht="12.75">
      <c r="A16" s="82"/>
      <c r="B16" s="54"/>
      <c r="E16" s="116"/>
      <c r="F16" s="79"/>
    </row>
    <row r="17" spans="1:7" ht="12.75">
      <c r="A17" s="82" t="s">
        <v>664</v>
      </c>
      <c r="B17" s="54">
        <v>15810</v>
      </c>
      <c r="C17">
        <v>845</v>
      </c>
      <c r="D17">
        <v>12</v>
      </c>
      <c r="E17" s="116">
        <v>1695</v>
      </c>
      <c r="F17" s="126">
        <f>(E17/C17)*(12/D17)</f>
        <v>0</v>
      </c>
      <c r="G17" s="91" t="s">
        <v>665</v>
      </c>
    </row>
    <row r="18" spans="2:6" ht="12.75">
      <c r="B18" s="54">
        <v>15811</v>
      </c>
      <c r="C18">
        <v>950</v>
      </c>
      <c r="D18">
        <v>12</v>
      </c>
      <c r="E18" s="116">
        <v>1810</v>
      </c>
      <c r="F18" s="126">
        <f>(E18/C18)*(12/D18)</f>
        <v>0</v>
      </c>
    </row>
    <row r="19" spans="2:6" ht="12.75">
      <c r="B19" s="54">
        <v>15812</v>
      </c>
      <c r="C19">
        <v>1055</v>
      </c>
      <c r="D19">
        <v>12</v>
      </c>
      <c r="E19" s="116">
        <v>1955</v>
      </c>
      <c r="F19" s="126">
        <f>(E19/C19)*(12/D19)</f>
        <v>0</v>
      </c>
    </row>
    <row r="20" spans="2:6" ht="12.75">
      <c r="B20" s="54">
        <v>15813</v>
      </c>
      <c r="C20">
        <v>1160</v>
      </c>
      <c r="D20">
        <v>12</v>
      </c>
      <c r="E20" s="116">
        <v>2145</v>
      </c>
      <c r="F20" s="126">
        <f>(E20/C20)*(12/D20)</f>
        <v>0</v>
      </c>
    </row>
    <row r="21" spans="2:6" ht="12.75">
      <c r="B21" s="54">
        <v>15814</v>
      </c>
      <c r="C21">
        <v>1270</v>
      </c>
      <c r="D21">
        <v>12</v>
      </c>
      <c r="E21" s="116">
        <v>2255</v>
      </c>
      <c r="F21" s="126">
        <f>(E21/C21)*(12/D21)</f>
        <v>0</v>
      </c>
    </row>
    <row r="22" spans="2:6" ht="12.75">
      <c r="B22" s="54">
        <v>15815</v>
      </c>
      <c r="C22">
        <v>1375</v>
      </c>
      <c r="D22">
        <v>12</v>
      </c>
      <c r="E22" s="116">
        <v>2365</v>
      </c>
      <c r="F22" s="126">
        <f>(E22/C22)*(12/D22)</f>
        <v>0</v>
      </c>
    </row>
    <row r="23" spans="2:6" ht="12.75">
      <c r="B23" s="54">
        <v>15816</v>
      </c>
      <c r="C23">
        <v>1480</v>
      </c>
      <c r="D23">
        <v>12</v>
      </c>
      <c r="E23" s="116">
        <v>2650</v>
      </c>
      <c r="F23" s="126">
        <f>(E23/C23)*(12/D23)</f>
        <v>0</v>
      </c>
    </row>
    <row r="24" spans="2:6" ht="12.75">
      <c r="B24" s="54">
        <v>15817</v>
      </c>
      <c r="C24">
        <v>1585</v>
      </c>
      <c r="D24">
        <v>12</v>
      </c>
      <c r="E24" s="116">
        <v>2725</v>
      </c>
      <c r="F24" s="126">
        <f>(E24/C24)*(12/D24)</f>
        <v>0</v>
      </c>
    </row>
    <row r="25" spans="2:6" ht="12.75">
      <c r="B25" s="54">
        <v>15818</v>
      </c>
      <c r="C25">
        <v>1690</v>
      </c>
      <c r="D25">
        <v>12</v>
      </c>
      <c r="E25" s="116">
        <v>2850</v>
      </c>
      <c r="F25" s="126">
        <f>(E25/C25)*(12/D25)</f>
        <v>0</v>
      </c>
    </row>
    <row r="26" spans="2:6" ht="12.75">
      <c r="B26" s="54"/>
      <c r="E26" s="116"/>
      <c r="F26" s="126"/>
    </row>
    <row r="27" spans="1:7" ht="12.75">
      <c r="A27" s="82" t="s">
        <v>666</v>
      </c>
      <c r="B27" s="54" t="s">
        <v>667</v>
      </c>
      <c r="C27">
        <v>854</v>
      </c>
      <c r="D27">
        <v>6</v>
      </c>
      <c r="E27" s="116">
        <v>694</v>
      </c>
      <c r="F27" s="126">
        <f>(E27/C27)*(12/D27)</f>
        <v>0</v>
      </c>
      <c r="G27" s="91" t="s">
        <v>668</v>
      </c>
    </row>
    <row r="28" spans="1:9" ht="12.75">
      <c r="A28" s="82"/>
      <c r="B28" s="54" t="s">
        <v>669</v>
      </c>
      <c r="C28">
        <v>1025</v>
      </c>
      <c r="D28">
        <v>6</v>
      </c>
      <c r="E28" s="116">
        <v>833</v>
      </c>
      <c r="F28" s="126">
        <f>(E28/C28)*(12/D28)</f>
        <v>0</v>
      </c>
      <c r="I28" t="s">
        <v>670</v>
      </c>
    </row>
    <row r="29" spans="1:6" ht="12.75">
      <c r="A29" s="82"/>
      <c r="B29" s="54" t="s">
        <v>671</v>
      </c>
      <c r="C29">
        <v>460</v>
      </c>
      <c r="D29">
        <v>6</v>
      </c>
      <c r="E29" s="116">
        <v>211</v>
      </c>
      <c r="F29" s="126">
        <f>(E29/C29)*(12/D29)</f>
        <v>0</v>
      </c>
    </row>
    <row r="30" spans="1:9" ht="12.75">
      <c r="A30" s="82"/>
      <c r="B30" s="54" t="s">
        <v>672</v>
      </c>
      <c r="C30">
        <v>682</v>
      </c>
      <c r="D30">
        <v>6</v>
      </c>
      <c r="E30" s="116">
        <v>555</v>
      </c>
      <c r="F30" s="126">
        <f>(E30/C30)*(12/D30)</f>
        <v>0</v>
      </c>
      <c r="I30" t="s">
        <v>673</v>
      </c>
    </row>
    <row r="31" spans="1:6" ht="12.75">
      <c r="A31" s="82"/>
      <c r="B31" s="54"/>
      <c r="E31" s="116"/>
      <c r="F31" s="126"/>
    </row>
    <row r="32" spans="1:6" ht="12.75">
      <c r="A32" s="82"/>
      <c r="B32" s="54"/>
      <c r="E32" s="116"/>
      <c r="F32" s="126"/>
    </row>
    <row r="33" spans="1:6" ht="12.75">
      <c r="A33" s="82"/>
      <c r="B33" s="54"/>
      <c r="E33" s="116"/>
      <c r="F33" s="126"/>
    </row>
    <row r="34" spans="1:6" ht="12.75">
      <c r="A34" s="82"/>
      <c r="B34" s="54"/>
      <c r="E34" s="116"/>
      <c r="F34" s="126"/>
    </row>
    <row r="35" ht="17.25">
      <c r="D35" s="129" t="s">
        <v>674</v>
      </c>
    </row>
    <row r="36" ht="12.75"/>
    <row r="37" ht="12.75"/>
    <row r="38" ht="12.75"/>
    <row r="39" ht="12.75"/>
    <row r="40" spans="5:7" ht="12.75">
      <c r="E40">
        <v>77</v>
      </c>
      <c r="F40">
        <v>1</v>
      </c>
      <c r="G40" s="130">
        <v>0.1</v>
      </c>
    </row>
    <row r="41" spans="5:7" ht="12.75">
      <c r="E41">
        <v>20</v>
      </c>
      <c r="F41" s="131">
        <f>1+(((E40-E41)/15)*G40)</f>
        <v>0</v>
      </c>
      <c r="G41" s="115"/>
    </row>
    <row r="42" ht="12.75">
      <c r="A42" s="82" t="s">
        <v>675</v>
      </c>
    </row>
    <row r="43" spans="2:6" ht="12.75">
      <c r="B43">
        <v>80</v>
      </c>
      <c r="C43">
        <v>1</v>
      </c>
      <c r="E43">
        <v>77</v>
      </c>
      <c r="F43" s="132">
        <f>($E$43-E43)</f>
        <v>0</v>
      </c>
    </row>
    <row r="44" spans="2:8" ht="12.75">
      <c r="B44">
        <v>70</v>
      </c>
      <c r="C44">
        <v>1.04</v>
      </c>
      <c r="E44">
        <v>70</v>
      </c>
      <c r="F44" s="132">
        <f>(1+(($E$43-E44)/15)*$G$40)</f>
        <v>0</v>
      </c>
      <c r="H44" s="132">
        <f>((($E$43-E44)/15))</f>
        <v>0</v>
      </c>
    </row>
    <row r="45" spans="2:6" ht="12.75">
      <c r="B45">
        <v>60</v>
      </c>
      <c r="C45">
        <v>1.11</v>
      </c>
      <c r="E45">
        <v>60</v>
      </c>
      <c r="F45" s="132">
        <f>(1+(($E$43-E45)/15*$G$40))</f>
        <v>0</v>
      </c>
    </row>
    <row r="46" spans="2:6" ht="12.75">
      <c r="B46">
        <v>50</v>
      </c>
      <c r="C46">
        <v>1.19</v>
      </c>
      <c r="E46">
        <v>50</v>
      </c>
      <c r="F46" s="132">
        <f>1+(($E$43-(E46)/15)*$G$40)</f>
        <v>0</v>
      </c>
    </row>
    <row r="47" spans="2:6" ht="12.75">
      <c r="B47">
        <v>40</v>
      </c>
      <c r="C47">
        <v>1.3</v>
      </c>
      <c r="E47">
        <v>40</v>
      </c>
      <c r="F47" s="132">
        <f>1+(($E$43-E47)/15)*$G$40</f>
        <v>0</v>
      </c>
    </row>
    <row r="48" spans="2:8" ht="12.75">
      <c r="B48">
        <v>30</v>
      </c>
      <c r="C48">
        <v>1.4</v>
      </c>
      <c r="E48">
        <v>30</v>
      </c>
      <c r="F48" s="132">
        <f>1+(($E$43-E48)/15)*$G$40</f>
        <v>0</v>
      </c>
      <c r="H48" s="132">
        <f>(($E$43-E47)/15)</f>
        <v>0</v>
      </c>
    </row>
    <row r="49" spans="2:6" ht="12.75">
      <c r="B49">
        <v>20</v>
      </c>
      <c r="C49">
        <v>1.59</v>
      </c>
      <c r="E49">
        <v>20</v>
      </c>
      <c r="F49" s="132">
        <f>1+(($E$43-E49)/15)*$G$40</f>
        <v>0</v>
      </c>
    </row>
    <row r="50" spans="2:6" ht="12.75">
      <c r="B50">
        <v>10</v>
      </c>
      <c r="E50">
        <v>10</v>
      </c>
      <c r="F50" s="132">
        <f>1+(($E$43-E50)/15)*$G$40</f>
        <v>0</v>
      </c>
    </row>
    <row r="51" spans="2:6" ht="12.75">
      <c r="B51">
        <v>0</v>
      </c>
      <c r="E51">
        <v>0</v>
      </c>
      <c r="F51" s="132">
        <f>1+(($E$43-E51)/15)*$G$40</f>
        <v>0</v>
      </c>
    </row>
    <row r="52" spans="2:6" ht="12.75">
      <c r="B52">
        <v>-10</v>
      </c>
      <c r="E52">
        <v>-10</v>
      </c>
      <c r="F52" s="132">
        <f>1+(($E$43-E52)/15)*$G$40</f>
        <v>0</v>
      </c>
    </row>
    <row r="53" spans="2:6" ht="12.75">
      <c r="B53">
        <v>-20</v>
      </c>
      <c r="E53">
        <v>-20</v>
      </c>
      <c r="F53" s="132">
        <f>1+(($E$43-E53)/15)*$G$40</f>
        <v>0</v>
      </c>
    </row>
    <row r="54" spans="2:6" ht="12.75">
      <c r="B54">
        <v>-30</v>
      </c>
      <c r="E54">
        <v>-30</v>
      </c>
      <c r="F54" s="132">
        <f>1+(($E$43-E54)/15)*$G$40</f>
        <v>0</v>
      </c>
    </row>
    <row r="55" spans="2:6" ht="12.75">
      <c r="B55">
        <v>-40</v>
      </c>
      <c r="E55">
        <v>-40</v>
      </c>
      <c r="F55" s="132">
        <f>1+(($E$43-E55)/15)*$G$40</f>
        <v>0</v>
      </c>
    </row>
    <row r="56" ht="12.75"/>
    <row r="57" ht="12.75"/>
    <row r="58" ht="12.75">
      <c r="F58" t="s">
        <v>676</v>
      </c>
    </row>
    <row r="59" ht="12.75">
      <c r="F59" t="s">
        <v>677</v>
      </c>
    </row>
    <row r="60" ht="12.75"/>
    <row r="61" ht="12.75">
      <c r="A61" s="82" t="s">
        <v>678</v>
      </c>
    </row>
    <row r="62" spans="2:4" ht="12.75">
      <c r="B62" s="82" t="s">
        <v>679</v>
      </c>
      <c r="D62">
        <v>12</v>
      </c>
    </row>
    <row r="63" spans="2:4" ht="12.75">
      <c r="B63" s="82" t="s">
        <v>680</v>
      </c>
      <c r="D63">
        <v>350</v>
      </c>
    </row>
    <row r="64" spans="2:4" ht="12.75">
      <c r="B64" s="82" t="s">
        <v>681</v>
      </c>
      <c r="D64" s="132">
        <f>D63*D62/1.1*0.4</f>
        <v>0</v>
      </c>
    </row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94"/>
  <sheetViews>
    <sheetView workbookViewId="0" topLeftCell="A1">
      <selection activeCell="F12" sqref="F12"/>
    </sheetView>
  </sheetViews>
  <sheetFormatPr defaultColWidth="11.421875" defaultRowHeight="12.75"/>
  <cols>
    <col min="1" max="256" width="11.28125" style="0" customWidth="1"/>
  </cols>
  <sheetData>
    <row r="1" ht="17.25">
      <c r="D1" s="133" t="s">
        <v>682</v>
      </c>
    </row>
    <row r="2" ht="12.75"/>
    <row r="3" spans="1:9" ht="12.75">
      <c r="A3" s="83"/>
      <c r="B3" s="82" t="s">
        <v>683</v>
      </c>
      <c r="C3" s="83" t="s">
        <v>684</v>
      </c>
      <c r="D3" s="83" t="s">
        <v>685</v>
      </c>
      <c r="E3" s="83" t="s">
        <v>686</v>
      </c>
      <c r="F3" s="134" t="s">
        <v>687</v>
      </c>
      <c r="G3" s="83" t="s">
        <v>688</v>
      </c>
      <c r="H3" s="83" t="s">
        <v>689</v>
      </c>
      <c r="I3" s="134" t="s">
        <v>690</v>
      </c>
    </row>
    <row r="4" spans="1:3" ht="12.75">
      <c r="A4" s="82" t="s">
        <v>691</v>
      </c>
      <c r="B4" s="40" t="s">
        <v>692</v>
      </c>
      <c r="C4" s="115" t="s">
        <v>693</v>
      </c>
    </row>
    <row r="5" spans="1:9" ht="12.75">
      <c r="A5" s="82"/>
      <c r="B5">
        <v>9300</v>
      </c>
      <c r="D5">
        <v>20</v>
      </c>
      <c r="E5" s="95">
        <f>117/60</f>
        <v>0</v>
      </c>
      <c r="F5">
        <v>30</v>
      </c>
      <c r="G5">
        <v>58</v>
      </c>
      <c r="H5" s="95">
        <v>1.5</v>
      </c>
      <c r="I5" s="135">
        <v>695</v>
      </c>
    </row>
    <row r="6" spans="1:9" ht="12.75">
      <c r="A6" s="82"/>
      <c r="D6">
        <v>40</v>
      </c>
      <c r="E6" s="95">
        <f>114/60</f>
        <v>0</v>
      </c>
      <c r="F6">
        <v>30</v>
      </c>
      <c r="G6">
        <v>65</v>
      </c>
      <c r="H6" s="95">
        <v>1.7</v>
      </c>
      <c r="I6" s="135">
        <v>695</v>
      </c>
    </row>
    <row r="7" spans="1:9" ht="12.75">
      <c r="A7" s="82"/>
      <c r="D7">
        <v>60</v>
      </c>
      <c r="E7" s="95">
        <f>109/60</f>
        <v>0</v>
      </c>
      <c r="F7">
        <v>30</v>
      </c>
      <c r="G7">
        <v>78</v>
      </c>
      <c r="H7" s="95">
        <v>2.1</v>
      </c>
      <c r="I7" s="135">
        <v>695</v>
      </c>
    </row>
    <row r="8" spans="1:9" ht="12.75">
      <c r="A8" s="82"/>
      <c r="D8">
        <v>80</v>
      </c>
      <c r="E8" s="95">
        <f>106/60</f>
        <v>0</v>
      </c>
      <c r="F8">
        <v>30</v>
      </c>
      <c r="G8">
        <v>89</v>
      </c>
      <c r="H8" s="95">
        <v>2.4</v>
      </c>
      <c r="I8" s="135">
        <v>695</v>
      </c>
    </row>
    <row r="9" spans="1:9" ht="12.75">
      <c r="A9" s="82"/>
      <c r="D9">
        <v>100</v>
      </c>
      <c r="E9" s="95">
        <f>103/60</f>
        <v>0</v>
      </c>
      <c r="F9">
        <v>30</v>
      </c>
      <c r="G9">
        <v>99</v>
      </c>
      <c r="H9" s="95">
        <v>2.6</v>
      </c>
      <c r="I9" s="135">
        <v>695</v>
      </c>
    </row>
    <row r="10" spans="1:9" ht="12.75">
      <c r="A10" s="82"/>
      <c r="D10">
        <v>120</v>
      </c>
      <c r="E10" s="95">
        <f>101/60</f>
        <v>0</v>
      </c>
      <c r="F10">
        <v>30</v>
      </c>
      <c r="G10">
        <v>104</v>
      </c>
      <c r="H10" s="95">
        <v>2.8</v>
      </c>
      <c r="I10" s="135">
        <v>695</v>
      </c>
    </row>
    <row r="11" spans="1:9" ht="12.75">
      <c r="A11" s="82"/>
      <c r="D11">
        <v>140</v>
      </c>
      <c r="E11" s="95">
        <f>99/60</f>
        <v>0</v>
      </c>
      <c r="F11">
        <v>30</v>
      </c>
      <c r="G11">
        <v>115</v>
      </c>
      <c r="H11" s="95">
        <v>3.1</v>
      </c>
      <c r="I11" s="135">
        <v>695</v>
      </c>
    </row>
    <row r="12" spans="1:9" ht="12.75">
      <c r="A12" s="82"/>
      <c r="D12">
        <v>160</v>
      </c>
      <c r="E12" s="95">
        <f>98/60</f>
        <v>0</v>
      </c>
      <c r="F12">
        <v>30</v>
      </c>
      <c r="G12">
        <v>123</v>
      </c>
      <c r="H12" s="95">
        <v>3.3</v>
      </c>
      <c r="I12" s="135">
        <v>695</v>
      </c>
    </row>
    <row r="13" spans="1:9" ht="12.75">
      <c r="A13" s="82"/>
      <c r="D13">
        <v>180</v>
      </c>
      <c r="E13" s="95">
        <f>93/60</f>
        <v>0</v>
      </c>
      <c r="F13">
        <v>30</v>
      </c>
      <c r="G13">
        <v>135</v>
      </c>
      <c r="H13" s="95">
        <v>3.6</v>
      </c>
      <c r="I13" s="135">
        <v>695</v>
      </c>
    </row>
    <row r="14" spans="1:9" ht="12.75">
      <c r="A14" s="82"/>
      <c r="D14">
        <v>200</v>
      </c>
      <c r="E14" s="95">
        <f>91/60</f>
        <v>0</v>
      </c>
      <c r="F14">
        <v>30</v>
      </c>
      <c r="G14">
        <v>141</v>
      </c>
      <c r="H14" s="95">
        <v>3.8</v>
      </c>
      <c r="I14" s="135">
        <v>695</v>
      </c>
    </row>
    <row r="15" spans="1:7" ht="12.75">
      <c r="A15" s="82"/>
      <c r="D15" s="95"/>
      <c r="G15" s="95"/>
    </row>
    <row r="16" spans="1:7" ht="12.75">
      <c r="A16" s="82"/>
      <c r="D16" s="95"/>
      <c r="G16" s="95"/>
    </row>
    <row r="17" spans="1:7" ht="12.75">
      <c r="A17" s="82" t="s">
        <v>694</v>
      </c>
      <c r="B17" s="136" t="s">
        <v>695</v>
      </c>
      <c r="C17" s="115" t="s">
        <v>696</v>
      </c>
      <c r="D17" s="95" t="s">
        <v>697</v>
      </c>
      <c r="G17" s="95"/>
    </row>
    <row r="18" ht="12.75">
      <c r="B18" s="82">
        <v>5218</v>
      </c>
    </row>
    <row r="19" spans="2:9" ht="12.75">
      <c r="B19" s="82"/>
      <c r="D19">
        <v>25</v>
      </c>
      <c r="E19" s="95">
        <f>2.7*0.85</f>
        <v>0</v>
      </c>
      <c r="F19">
        <v>48</v>
      </c>
      <c r="G19" s="132">
        <f>84*0.85</f>
        <v>0</v>
      </c>
      <c r="H19" s="95">
        <f>G19/F19</f>
        <v>0</v>
      </c>
      <c r="I19" s="135">
        <v>1849</v>
      </c>
    </row>
    <row r="20" spans="2:9" ht="12.75">
      <c r="B20" s="82"/>
      <c r="D20">
        <v>50</v>
      </c>
      <c r="E20" s="95">
        <f>2.5*0.85</f>
        <v>0</v>
      </c>
      <c r="F20">
        <v>48</v>
      </c>
      <c r="G20" s="132">
        <f>96*0.85</f>
        <v>0</v>
      </c>
      <c r="H20" s="95">
        <f>G20/F20</f>
        <v>0</v>
      </c>
      <c r="I20" s="135">
        <v>1849</v>
      </c>
    </row>
    <row r="21" spans="2:9" ht="12.75">
      <c r="B21" s="82"/>
      <c r="D21">
        <v>75</v>
      </c>
      <c r="E21" s="95">
        <f>2.4*0.85</f>
        <v>0</v>
      </c>
      <c r="F21">
        <v>48</v>
      </c>
      <c r="G21" s="132">
        <f>108*0.85</f>
        <v>0</v>
      </c>
      <c r="H21" s="95">
        <f>G21/F21</f>
        <v>0</v>
      </c>
      <c r="I21" s="135">
        <v>1849</v>
      </c>
    </row>
    <row r="22" spans="2:9" ht="12.75">
      <c r="B22" s="82"/>
      <c r="D22">
        <v>100</v>
      </c>
      <c r="E22" s="95">
        <f>2.1*0.85</f>
        <v>0</v>
      </c>
      <c r="F22">
        <v>48</v>
      </c>
      <c r="G22" s="132">
        <f>114*0.85</f>
        <v>0</v>
      </c>
      <c r="H22" s="95">
        <f>G22/F22</f>
        <v>0</v>
      </c>
      <c r="I22" s="135">
        <v>1849</v>
      </c>
    </row>
    <row r="23" spans="2:9" ht="12.75">
      <c r="B23" s="82"/>
      <c r="D23">
        <v>125</v>
      </c>
      <c r="E23" s="95">
        <f>2.2*0.85</f>
        <v>0</v>
      </c>
      <c r="F23">
        <v>48</v>
      </c>
      <c r="G23" s="132">
        <f>126*0.85</f>
        <v>0</v>
      </c>
      <c r="H23" s="95">
        <f>G23/F23</f>
        <v>0</v>
      </c>
      <c r="I23" s="135">
        <v>1849</v>
      </c>
    </row>
    <row r="24" spans="2:9" ht="12.75">
      <c r="B24" s="82"/>
      <c r="D24">
        <v>150</v>
      </c>
      <c r="E24" s="95">
        <f>2*0.85</f>
        <v>0</v>
      </c>
      <c r="F24">
        <v>48</v>
      </c>
      <c r="G24" s="132">
        <f>138*0.85</f>
        <v>0</v>
      </c>
      <c r="H24" s="95">
        <f>G24/F24</f>
        <v>0</v>
      </c>
      <c r="I24" s="135">
        <v>1849</v>
      </c>
    </row>
    <row r="25" spans="2:9" ht="12.75">
      <c r="B25" s="82"/>
      <c r="D25">
        <v>175</v>
      </c>
      <c r="E25" s="95">
        <f>1.9*0.85</f>
        <v>0</v>
      </c>
      <c r="F25">
        <v>48</v>
      </c>
      <c r="G25" s="132">
        <f>144*0.85</f>
        <v>0</v>
      </c>
      <c r="H25" s="95">
        <f>G25/F25</f>
        <v>0</v>
      </c>
      <c r="I25" s="135">
        <v>1849</v>
      </c>
    </row>
    <row r="26" spans="2:9" ht="12.75">
      <c r="B26" s="82"/>
      <c r="D26">
        <v>200</v>
      </c>
      <c r="E26" s="95">
        <f>1.8*0.85</f>
        <v>0</v>
      </c>
      <c r="F26">
        <v>48</v>
      </c>
      <c r="G26" s="132">
        <f>156*0.85</f>
        <v>0</v>
      </c>
      <c r="H26" s="95">
        <f>G26/F26</f>
        <v>0</v>
      </c>
      <c r="I26" s="135">
        <v>1849</v>
      </c>
    </row>
    <row r="27" ht="12.75"/>
    <row r="28" ht="12.75">
      <c r="B28" s="82">
        <v>5222</v>
      </c>
    </row>
    <row r="29" spans="4:9" ht="12.75">
      <c r="D29">
        <v>25</v>
      </c>
      <c r="E29" s="95">
        <f>3.1*0.85</f>
        <v>0</v>
      </c>
      <c r="F29">
        <v>48</v>
      </c>
      <c r="G29" s="132">
        <f>103*0.85</f>
        <v>0</v>
      </c>
      <c r="H29" s="95">
        <f>G30/F29</f>
        <v>0</v>
      </c>
      <c r="I29" s="135">
        <v>1849</v>
      </c>
    </row>
    <row r="30" spans="4:9" ht="12.75">
      <c r="D30">
        <v>50</v>
      </c>
      <c r="E30" s="95">
        <f>2.9*0.85</f>
        <v>0</v>
      </c>
      <c r="F30">
        <v>48</v>
      </c>
      <c r="G30" s="132">
        <f>117*0.85</f>
        <v>0</v>
      </c>
      <c r="H30" s="95">
        <f>G31/F30</f>
        <v>0</v>
      </c>
      <c r="I30" s="135">
        <v>1849</v>
      </c>
    </row>
    <row r="31" spans="4:9" ht="12.75">
      <c r="D31">
        <v>75</v>
      </c>
      <c r="E31" s="95">
        <f>2.9*0.85</f>
        <v>0</v>
      </c>
      <c r="F31">
        <v>48</v>
      </c>
      <c r="G31" s="132">
        <f>132*0.85</f>
        <v>0</v>
      </c>
      <c r="H31" s="95">
        <f>G32/F31</f>
        <v>0</v>
      </c>
      <c r="I31" s="135">
        <v>1849</v>
      </c>
    </row>
    <row r="32" spans="4:9" ht="12.75">
      <c r="D32">
        <v>100</v>
      </c>
      <c r="E32" s="95">
        <f>2.7*0.85</f>
        <v>0</v>
      </c>
      <c r="F32">
        <v>48</v>
      </c>
      <c r="G32" s="132">
        <f>139*0.85</f>
        <v>0</v>
      </c>
      <c r="H32" s="95">
        <f>G33/F32</f>
        <v>0</v>
      </c>
      <c r="I32" s="135">
        <v>1849</v>
      </c>
    </row>
    <row r="33" spans="4:9" ht="12.75">
      <c r="D33">
        <v>125</v>
      </c>
      <c r="E33" s="95">
        <f>2.5*0.85</f>
        <v>0</v>
      </c>
      <c r="F33">
        <v>48</v>
      </c>
      <c r="G33" s="132">
        <f>154*0.85</f>
        <v>0</v>
      </c>
      <c r="H33" s="95">
        <f>G34/F33</f>
        <v>0</v>
      </c>
      <c r="I33" s="135">
        <v>1849</v>
      </c>
    </row>
    <row r="34" spans="4:9" ht="12.75">
      <c r="D34">
        <v>150</v>
      </c>
      <c r="E34" s="95">
        <f>2.3*0.85</f>
        <v>0</v>
      </c>
      <c r="F34">
        <v>48</v>
      </c>
      <c r="G34" s="132">
        <f>169*0.85</f>
        <v>0</v>
      </c>
      <c r="H34" s="95">
        <f>G35/F34</f>
        <v>0</v>
      </c>
      <c r="I34" s="135">
        <v>1849</v>
      </c>
    </row>
    <row r="35" spans="4:9" ht="12.75">
      <c r="D35">
        <v>175</v>
      </c>
      <c r="E35" s="95">
        <f>2.3*0.85</f>
        <v>0</v>
      </c>
      <c r="F35">
        <v>48</v>
      </c>
      <c r="G35" s="132">
        <f>176*0.85</f>
        <v>0</v>
      </c>
      <c r="H35" s="95">
        <f>G36/F35</f>
        <v>0</v>
      </c>
      <c r="I35" s="135">
        <v>1849</v>
      </c>
    </row>
    <row r="36" spans="4:9" ht="12.75">
      <c r="D36">
        <v>200</v>
      </c>
      <c r="E36" s="95">
        <f>2.1*0.85</f>
        <v>0</v>
      </c>
      <c r="F36">
        <v>48</v>
      </c>
      <c r="G36" s="132">
        <f>191*0.85</f>
        <v>0</v>
      </c>
      <c r="H36" s="95">
        <f>G37/F36</f>
        <v>0</v>
      </c>
      <c r="I36" s="135">
        <v>1849</v>
      </c>
    </row>
    <row r="37" ht="12.75"/>
    <row r="38" ht="12.75">
      <c r="B38" s="82">
        <v>5226</v>
      </c>
    </row>
    <row r="39" spans="4:9" ht="12.75">
      <c r="D39">
        <v>25</v>
      </c>
      <c r="E39" s="95">
        <f>3.6*0.85</f>
        <v>0</v>
      </c>
      <c r="F39">
        <v>48</v>
      </c>
      <c r="G39" s="132">
        <f>108*0.85</f>
        <v>0</v>
      </c>
      <c r="H39" s="95">
        <f>G39/F39</f>
        <v>0</v>
      </c>
      <c r="I39" s="135">
        <v>1849</v>
      </c>
    </row>
    <row r="40" spans="4:9" ht="12.75">
      <c r="D40">
        <v>50</v>
      </c>
      <c r="E40" s="95">
        <f>3.4*0.85</f>
        <v>0</v>
      </c>
      <c r="F40">
        <v>48</v>
      </c>
      <c r="G40" s="132">
        <f>124*0.85</f>
        <v>0</v>
      </c>
      <c r="H40" s="95">
        <f>G40/F40</f>
        <v>0</v>
      </c>
      <c r="I40" s="135">
        <v>1849</v>
      </c>
    </row>
    <row r="41" spans="4:9" ht="12.75">
      <c r="D41">
        <v>75</v>
      </c>
      <c r="E41" s="95">
        <f>3.3*0.85</f>
        <v>0</v>
      </c>
      <c r="F41">
        <v>48</v>
      </c>
      <c r="G41" s="132">
        <f>138*0.85</f>
        <v>0</v>
      </c>
      <c r="H41" s="95">
        <f>G41/F41</f>
        <v>0</v>
      </c>
      <c r="I41" s="135">
        <v>1849</v>
      </c>
    </row>
    <row r="42" spans="4:9" ht="12.75">
      <c r="D42">
        <v>100</v>
      </c>
      <c r="E42" s="95">
        <f>3.2*0.85</f>
        <v>0</v>
      </c>
      <c r="F42">
        <v>48</v>
      </c>
      <c r="G42" s="132">
        <f>151*0.85</f>
        <v>0</v>
      </c>
      <c r="H42" s="95">
        <f>G42/F42</f>
        <v>0</v>
      </c>
      <c r="I42" s="135">
        <v>1849</v>
      </c>
    </row>
    <row r="43" spans="4:9" ht="12.75">
      <c r="D43">
        <v>125</v>
      </c>
      <c r="E43" s="95">
        <f>3.1*0.85</f>
        <v>0</v>
      </c>
      <c r="F43">
        <v>48</v>
      </c>
      <c r="G43" s="132">
        <f>166*0.85</f>
        <v>0</v>
      </c>
      <c r="H43" s="95">
        <f>G43/F43</f>
        <v>0</v>
      </c>
      <c r="I43" s="135">
        <v>1849</v>
      </c>
    </row>
    <row r="44" spans="4:9" ht="12.75">
      <c r="D44">
        <v>150</v>
      </c>
      <c r="E44" s="95">
        <f>2.9*0.85</f>
        <v>0</v>
      </c>
      <c r="F44">
        <v>48</v>
      </c>
      <c r="G44" s="132">
        <f>180*0.85</f>
        <v>0</v>
      </c>
      <c r="H44" s="95">
        <f>G44/F44</f>
        <v>0</v>
      </c>
      <c r="I44" s="135">
        <v>1849</v>
      </c>
    </row>
    <row r="45" spans="4:9" ht="12.75">
      <c r="D45">
        <v>175</v>
      </c>
      <c r="E45" s="95">
        <f>2.8*0.85</f>
        <v>0</v>
      </c>
      <c r="F45">
        <v>48</v>
      </c>
      <c r="G45" s="132">
        <f>192*0.85</f>
        <v>0</v>
      </c>
      <c r="H45" s="95">
        <f>G45/F45</f>
        <v>0</v>
      </c>
      <c r="I45" s="135">
        <v>1849</v>
      </c>
    </row>
    <row r="46" spans="4:9" ht="12.75">
      <c r="D46">
        <v>200</v>
      </c>
      <c r="E46" s="95">
        <f>2.7*0.85</f>
        <v>0</v>
      </c>
      <c r="F46">
        <v>48</v>
      </c>
      <c r="G46" s="132">
        <f>210*0.85</f>
        <v>0</v>
      </c>
      <c r="H46" s="95">
        <f>G46/F46</f>
        <v>0</v>
      </c>
      <c r="I46" s="135">
        <v>1849</v>
      </c>
    </row>
    <row r="47" ht="12.75"/>
    <row r="48" ht="12.75">
      <c r="B48" s="82">
        <v>5230</v>
      </c>
    </row>
    <row r="49" spans="4:9" ht="12.75">
      <c r="D49">
        <v>25</v>
      </c>
      <c r="E49" s="95">
        <f>6.6*0.85</f>
        <v>0</v>
      </c>
      <c r="F49">
        <v>48</v>
      </c>
      <c r="G49" s="132">
        <f>204*0.85</f>
        <v>0</v>
      </c>
      <c r="H49" s="95">
        <f>G49/F49</f>
        <v>0</v>
      </c>
      <c r="I49" s="135">
        <v>1849</v>
      </c>
    </row>
    <row r="50" spans="4:9" ht="12.75">
      <c r="D50">
        <v>50</v>
      </c>
      <c r="E50" s="95">
        <f>6.2*0.85</f>
        <v>0</v>
      </c>
      <c r="F50">
        <v>48</v>
      </c>
      <c r="G50" s="132">
        <f>212*0.85</f>
        <v>0</v>
      </c>
      <c r="H50" s="95">
        <f>G50/F50</f>
        <v>0</v>
      </c>
      <c r="I50" s="135">
        <v>1849</v>
      </c>
    </row>
    <row r="51" spans="4:9" ht="12.75">
      <c r="D51">
        <v>75</v>
      </c>
      <c r="E51" s="95">
        <f>5.5*0.85</f>
        <v>0</v>
      </c>
      <c r="F51">
        <v>48</v>
      </c>
      <c r="G51" s="132">
        <f>220*0.85</f>
        <v>0</v>
      </c>
      <c r="H51" s="95">
        <f>G51/F51</f>
        <v>0</v>
      </c>
      <c r="I51" s="135">
        <v>1849</v>
      </c>
    </row>
    <row r="52" spans="4:9" ht="12.75">
      <c r="D52">
        <v>100</v>
      </c>
      <c r="E52" s="95">
        <f>5*0.85</f>
        <v>0</v>
      </c>
      <c r="F52">
        <v>48</v>
      </c>
      <c r="G52" s="132">
        <f>240*0.85</f>
        <v>0</v>
      </c>
      <c r="H52" s="95">
        <f>G52/F52</f>
        <v>0</v>
      </c>
      <c r="I52" s="135">
        <v>1849</v>
      </c>
    </row>
    <row r="53" spans="5:8" ht="12.75">
      <c r="E53" s="95"/>
      <c r="H53" s="95"/>
    </row>
    <row r="54" spans="1:4" ht="12.75">
      <c r="A54" s="82" t="s">
        <v>698</v>
      </c>
      <c r="B54" t="s">
        <v>699</v>
      </c>
      <c r="C54" s="115" t="s">
        <v>700</v>
      </c>
      <c r="D54" t="s">
        <v>701</v>
      </c>
    </row>
    <row r="55" ht="12.75">
      <c r="B55" t="s">
        <v>702</v>
      </c>
    </row>
    <row r="56" spans="4:9" ht="12.75">
      <c r="D56">
        <v>15</v>
      </c>
      <c r="E56">
        <v>16</v>
      </c>
      <c r="F56">
        <v>48</v>
      </c>
      <c r="G56">
        <v>200</v>
      </c>
      <c r="I56" s="135">
        <v>700</v>
      </c>
    </row>
    <row r="57" spans="4:9" ht="12.75">
      <c r="D57">
        <v>30</v>
      </c>
      <c r="E57">
        <v>20</v>
      </c>
      <c r="F57">
        <v>48</v>
      </c>
      <c r="G57">
        <v>400</v>
      </c>
      <c r="I57" s="135">
        <v>700</v>
      </c>
    </row>
    <row r="58" spans="4:9" ht="12.75">
      <c r="D58">
        <v>80</v>
      </c>
      <c r="E58">
        <v>8.4</v>
      </c>
      <c r="F58">
        <v>48</v>
      </c>
      <c r="G58">
        <v>400</v>
      </c>
      <c r="I58" s="135">
        <v>700</v>
      </c>
    </row>
    <row r="59" spans="4:9" ht="12.75">
      <c r="D59">
        <v>100</v>
      </c>
      <c r="E59">
        <v>3</v>
      </c>
      <c r="F59">
        <v>48</v>
      </c>
      <c r="G59">
        <v>250</v>
      </c>
      <c r="I59" s="135">
        <v>700</v>
      </c>
    </row>
    <row r="60" spans="4:9" ht="12.75">
      <c r="D60">
        <v>130</v>
      </c>
      <c r="E60">
        <v>3.7</v>
      </c>
      <c r="F60">
        <v>48</v>
      </c>
      <c r="G60">
        <v>400</v>
      </c>
      <c r="I60" s="135">
        <v>700</v>
      </c>
    </row>
    <row r="61" ht="12.75">
      <c r="I61" s="135"/>
    </row>
    <row r="62" ht="12.75"/>
    <row r="63" ht="12.75"/>
    <row r="64" ht="12.75">
      <c r="B64" t="s">
        <v>703</v>
      </c>
    </row>
    <row r="65" spans="4:9" ht="12.75">
      <c r="D65">
        <v>15</v>
      </c>
      <c r="E65">
        <v>43</v>
      </c>
      <c r="F65">
        <v>48</v>
      </c>
      <c r="G65">
        <v>512</v>
      </c>
      <c r="I65" s="135">
        <v>865</v>
      </c>
    </row>
    <row r="66" spans="4:9" ht="12.75">
      <c r="D66">
        <v>30</v>
      </c>
      <c r="E66">
        <v>83</v>
      </c>
      <c r="F66">
        <v>48</v>
      </c>
      <c r="G66">
        <v>1920</v>
      </c>
      <c r="I66" s="135">
        <v>956</v>
      </c>
    </row>
    <row r="67" spans="4:9" ht="12.75">
      <c r="D67">
        <v>130</v>
      </c>
      <c r="E67">
        <v>28</v>
      </c>
      <c r="F67">
        <v>48</v>
      </c>
      <c r="G67">
        <v>1920</v>
      </c>
      <c r="I67" s="135">
        <v>860</v>
      </c>
    </row>
    <row r="68" spans="4:9" ht="12.75">
      <c r="D68">
        <v>225</v>
      </c>
      <c r="E68">
        <v>15</v>
      </c>
      <c r="F68">
        <v>48</v>
      </c>
      <c r="G68">
        <v>1920</v>
      </c>
      <c r="I68" s="135">
        <v>865</v>
      </c>
    </row>
    <row r="69" ht="12.75"/>
    <row r="70" ht="12.75"/>
    <row r="71" ht="12.75"/>
    <row r="72" spans="1:3" ht="12.75">
      <c r="A72" s="137" t="s">
        <v>704</v>
      </c>
      <c r="C72" s="95"/>
    </row>
    <row r="73" spans="2:7" ht="12.75">
      <c r="B73">
        <v>10</v>
      </c>
      <c r="C73" s="95">
        <f>213/60</f>
        <v>0</v>
      </c>
      <c r="D73">
        <v>24</v>
      </c>
      <c r="F73">
        <v>96</v>
      </c>
      <c r="G73" s="135">
        <v>790</v>
      </c>
    </row>
    <row r="74" spans="2:7" ht="12.75">
      <c r="B74">
        <v>20</v>
      </c>
      <c r="C74" s="95">
        <f>205/60</f>
        <v>0</v>
      </c>
      <c r="D74">
        <v>24</v>
      </c>
      <c r="F74">
        <v>96</v>
      </c>
      <c r="G74" s="135">
        <v>790</v>
      </c>
    </row>
    <row r="75" spans="2:7" ht="12.75">
      <c r="B75">
        <v>30</v>
      </c>
      <c r="C75" s="95">
        <f>197/60</f>
        <v>0</v>
      </c>
      <c r="D75">
        <v>24</v>
      </c>
      <c r="F75">
        <v>96</v>
      </c>
      <c r="G75" s="135">
        <v>790</v>
      </c>
    </row>
    <row r="76" spans="2:7" ht="12.75">
      <c r="B76">
        <v>40</v>
      </c>
      <c r="C76" s="95">
        <f>190/60</f>
        <v>0</v>
      </c>
      <c r="D76">
        <v>24</v>
      </c>
      <c r="F76">
        <v>96</v>
      </c>
      <c r="G76" s="135">
        <v>790</v>
      </c>
    </row>
    <row r="77" spans="2:7" ht="12.75">
      <c r="B77">
        <v>50</v>
      </c>
      <c r="C77" s="95">
        <f>185/60</f>
        <v>0</v>
      </c>
      <c r="D77">
        <v>24</v>
      </c>
      <c r="F77">
        <v>96</v>
      </c>
      <c r="G77" s="135">
        <v>790</v>
      </c>
    </row>
    <row r="78" spans="2:7" ht="12.75">
      <c r="B78">
        <v>60</v>
      </c>
      <c r="C78" s="95">
        <f>180/60</f>
        <v>0</v>
      </c>
      <c r="D78">
        <v>24</v>
      </c>
      <c r="F78">
        <v>120</v>
      </c>
      <c r="G78" s="135">
        <v>790</v>
      </c>
    </row>
    <row r="79" spans="1:7" ht="12.75">
      <c r="A79" s="82"/>
      <c r="B79">
        <v>70</v>
      </c>
      <c r="C79" s="95">
        <f>174/60</f>
        <v>0</v>
      </c>
      <c r="D79">
        <v>24</v>
      </c>
      <c r="F79">
        <v>120</v>
      </c>
      <c r="G79" s="135">
        <v>790</v>
      </c>
    </row>
    <row r="80" spans="1:7" ht="12.75">
      <c r="A80" s="82"/>
      <c r="B80">
        <v>80</v>
      </c>
      <c r="C80" s="95">
        <f>170/60</f>
        <v>0</v>
      </c>
      <c r="D80">
        <v>24</v>
      </c>
      <c r="F80">
        <v>160</v>
      </c>
      <c r="G80" s="135">
        <v>790</v>
      </c>
    </row>
    <row r="81" spans="2:7" ht="12.75">
      <c r="B81">
        <v>90</v>
      </c>
      <c r="C81" s="95">
        <f>167/60</f>
        <v>0</v>
      </c>
      <c r="D81">
        <v>24</v>
      </c>
      <c r="F81">
        <v>160</v>
      </c>
      <c r="G81" s="135">
        <v>790</v>
      </c>
    </row>
    <row r="82" spans="2:7" ht="12.75">
      <c r="B82">
        <v>100</v>
      </c>
      <c r="C82" s="95">
        <f>162/60</f>
        <v>0</v>
      </c>
      <c r="D82">
        <v>24</v>
      </c>
      <c r="F82">
        <v>160</v>
      </c>
      <c r="G82" s="135">
        <v>790</v>
      </c>
    </row>
    <row r="83" ht="12.75">
      <c r="C83" s="95"/>
    </row>
    <row r="84" ht="12.75">
      <c r="A84" s="137" t="s">
        <v>705</v>
      </c>
    </row>
    <row r="85" spans="2:7" ht="12.75">
      <c r="B85">
        <v>20</v>
      </c>
      <c r="C85" s="132">
        <f>(493/8)/60</f>
        <v>0</v>
      </c>
      <c r="D85">
        <v>24</v>
      </c>
      <c r="F85">
        <v>1.31</v>
      </c>
      <c r="G85" s="135">
        <v>730</v>
      </c>
    </row>
    <row r="86" spans="2:7" ht="12.75">
      <c r="B86">
        <v>40</v>
      </c>
      <c r="C86" s="132">
        <f>(457/8)/60</f>
        <v>0</v>
      </c>
      <c r="D86">
        <v>24</v>
      </c>
      <c r="F86">
        <v>1.48</v>
      </c>
      <c r="G86" s="135">
        <v>730</v>
      </c>
    </row>
    <row r="87" spans="2:7" ht="12.75">
      <c r="B87">
        <v>60</v>
      </c>
      <c r="C87" s="132">
        <f>(428/8)/60</f>
        <v>0</v>
      </c>
      <c r="D87">
        <v>24</v>
      </c>
      <c r="F87">
        <v>1.65</v>
      </c>
      <c r="G87" s="135">
        <v>730</v>
      </c>
    </row>
    <row r="88" spans="2:7" ht="12.75">
      <c r="B88">
        <v>80</v>
      </c>
      <c r="C88" s="132">
        <f>(407/8)/60</f>
        <v>0</v>
      </c>
      <c r="D88">
        <v>24</v>
      </c>
      <c r="F88">
        <v>1.82</v>
      </c>
      <c r="G88" s="135">
        <v>730</v>
      </c>
    </row>
    <row r="89" spans="2:7" ht="12.75">
      <c r="B89">
        <v>100</v>
      </c>
      <c r="C89" s="132">
        <f>(389/8)/60</f>
        <v>0</v>
      </c>
      <c r="D89">
        <v>24</v>
      </c>
      <c r="F89">
        <v>2</v>
      </c>
      <c r="G89" s="135">
        <v>730</v>
      </c>
    </row>
    <row r="90" spans="2:7" ht="12.75">
      <c r="B90">
        <v>120</v>
      </c>
      <c r="C90" s="132">
        <f>(371/8)/60</f>
        <v>0</v>
      </c>
      <c r="D90">
        <v>24</v>
      </c>
      <c r="F90">
        <v>2.16</v>
      </c>
      <c r="G90" s="135">
        <v>730</v>
      </c>
    </row>
    <row r="91" spans="2:7" ht="12.75">
      <c r="B91">
        <v>140</v>
      </c>
      <c r="C91" s="132">
        <f>(342/8)/60</f>
        <v>0</v>
      </c>
      <c r="D91">
        <v>24</v>
      </c>
      <c r="F91">
        <v>2.33</v>
      </c>
      <c r="G91" s="135">
        <v>730</v>
      </c>
    </row>
    <row r="92" spans="2:7" ht="12.75">
      <c r="B92">
        <v>160</v>
      </c>
      <c r="C92" s="132">
        <f>(331/8)/60</f>
        <v>0</v>
      </c>
      <c r="D92">
        <v>24</v>
      </c>
      <c r="F92">
        <v>2.5</v>
      </c>
      <c r="G92" s="135">
        <v>730</v>
      </c>
    </row>
    <row r="93" spans="2:7" ht="12.75">
      <c r="B93">
        <v>180</v>
      </c>
      <c r="C93" s="132">
        <f>(317/8)/60</f>
        <v>0</v>
      </c>
      <c r="D93">
        <v>24</v>
      </c>
      <c r="F93">
        <v>2.68</v>
      </c>
      <c r="G93" s="135">
        <v>730</v>
      </c>
    </row>
    <row r="94" spans="2:7" ht="12.75">
      <c r="B94">
        <v>200</v>
      </c>
      <c r="C94" s="132">
        <f>(310/8)/60</f>
        <v>0</v>
      </c>
      <c r="D94">
        <v>24</v>
      </c>
      <c r="F94">
        <v>2.85</v>
      </c>
      <c r="G94" s="135">
        <v>730</v>
      </c>
    </row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10" sqref="E10"/>
    </sheetView>
  </sheetViews>
  <sheetFormatPr defaultColWidth="11.421875" defaultRowHeight="12.75"/>
  <cols>
    <col min="1" max="256" width="11.28125" style="0" customWidth="1"/>
  </cols>
  <sheetData>
    <row r="1" ht="12.75">
      <c r="C1" s="138" t="s">
        <v>706</v>
      </c>
    </row>
    <row r="2" ht="12.75"/>
    <row r="3" ht="12.75">
      <c r="A3" s="82" t="s">
        <v>707</v>
      </c>
    </row>
    <row r="4" spans="1:7" ht="12.75">
      <c r="A4" s="82"/>
      <c r="B4" s="83" t="s">
        <v>708</v>
      </c>
      <c r="C4" s="83" t="s">
        <v>709</v>
      </c>
      <c r="D4" s="83" t="s">
        <v>710</v>
      </c>
      <c r="E4" s="83" t="s">
        <v>711</v>
      </c>
      <c r="F4" s="83" t="s">
        <v>712</v>
      </c>
      <c r="G4" s="83" t="s">
        <v>713</v>
      </c>
    </row>
    <row r="5" spans="1:7" ht="12.75">
      <c r="A5" s="82"/>
      <c r="B5">
        <v>4.5</v>
      </c>
      <c r="C5">
        <v>30</v>
      </c>
      <c r="D5">
        <v>12</v>
      </c>
      <c r="E5" s="139">
        <v>13</v>
      </c>
      <c r="F5" s="132">
        <f>D5*E5</f>
        <v>0</v>
      </c>
      <c r="G5" s="135">
        <v>540</v>
      </c>
    </row>
    <row r="6" spans="1:7" ht="12.75">
      <c r="A6" s="82"/>
      <c r="B6">
        <v>4.5</v>
      </c>
      <c r="C6">
        <v>40</v>
      </c>
      <c r="D6">
        <v>12</v>
      </c>
      <c r="E6" s="139">
        <v>15</v>
      </c>
      <c r="F6" s="132">
        <f>D6*E6</f>
        <v>0</v>
      </c>
      <c r="G6" s="135">
        <v>540</v>
      </c>
    </row>
    <row r="7" spans="2:7" ht="12.75">
      <c r="B7">
        <v>4.5</v>
      </c>
      <c r="C7">
        <v>50</v>
      </c>
      <c r="D7">
        <v>12</v>
      </c>
      <c r="E7" s="139">
        <v>16</v>
      </c>
      <c r="F7" s="132">
        <f>D7*E7</f>
        <v>0</v>
      </c>
      <c r="G7" s="135">
        <v>540</v>
      </c>
    </row>
    <row r="8" spans="2:7" ht="12.75">
      <c r="B8">
        <v>4.1</v>
      </c>
      <c r="C8">
        <v>65</v>
      </c>
      <c r="D8">
        <v>12</v>
      </c>
      <c r="E8" s="139">
        <v>22</v>
      </c>
      <c r="F8" s="132">
        <f>D8*E8</f>
        <v>0</v>
      </c>
      <c r="G8" s="135">
        <v>540</v>
      </c>
    </row>
    <row r="9" spans="2:7" ht="12.75">
      <c r="B9">
        <v>3.4</v>
      </c>
      <c r="C9">
        <v>30</v>
      </c>
      <c r="D9">
        <v>24</v>
      </c>
      <c r="E9" s="139">
        <v>6.5</v>
      </c>
      <c r="F9" s="132">
        <f>D9*E9</f>
        <v>0</v>
      </c>
      <c r="G9" s="135">
        <v>540</v>
      </c>
    </row>
    <row r="10" spans="2:7" ht="12.75">
      <c r="B10">
        <v>3.3</v>
      </c>
      <c r="C10">
        <v>40</v>
      </c>
      <c r="D10">
        <v>24</v>
      </c>
      <c r="E10" s="139">
        <v>7.5</v>
      </c>
      <c r="F10" s="132">
        <f>D10*E10</f>
        <v>0</v>
      </c>
      <c r="G10" s="135">
        <v>540</v>
      </c>
    </row>
    <row r="11" spans="2:7" ht="12.75">
      <c r="B11">
        <v>3.1</v>
      </c>
      <c r="C11">
        <v>50</v>
      </c>
      <c r="D11">
        <v>24</v>
      </c>
      <c r="E11" s="139">
        <v>8</v>
      </c>
      <c r="F11" s="132">
        <f>D11*E11</f>
        <v>0</v>
      </c>
      <c r="G11" s="135">
        <v>540</v>
      </c>
    </row>
    <row r="12" spans="2:7" ht="12.75">
      <c r="B12">
        <v>2.7</v>
      </c>
      <c r="C12">
        <v>65</v>
      </c>
      <c r="D12">
        <v>24</v>
      </c>
      <c r="E12" s="139">
        <v>11</v>
      </c>
      <c r="F12" s="132">
        <f>D12*E12</f>
        <v>0</v>
      </c>
      <c r="G12" s="135">
        <v>540</v>
      </c>
    </row>
    <row r="13" ht="12.75"/>
    <row r="14" ht="12.75">
      <c r="A14" s="137" t="s">
        <v>714</v>
      </c>
    </row>
    <row r="15" spans="2:7" ht="12.75">
      <c r="B15">
        <v>3.5</v>
      </c>
      <c r="C15">
        <v>10</v>
      </c>
      <c r="D15">
        <v>12</v>
      </c>
      <c r="E15">
        <v>6</v>
      </c>
      <c r="F15" s="132">
        <f>D15*E15</f>
        <v>0</v>
      </c>
      <c r="G15" s="135">
        <v>190</v>
      </c>
    </row>
    <row r="16" spans="2:7" ht="12.75">
      <c r="B16">
        <v>3.5</v>
      </c>
      <c r="C16">
        <v>30</v>
      </c>
      <c r="D16">
        <v>12</v>
      </c>
      <c r="E16">
        <v>8</v>
      </c>
      <c r="F16" s="132">
        <f>D16*E16</f>
        <v>0</v>
      </c>
      <c r="G16" s="135">
        <v>190</v>
      </c>
    </row>
    <row r="17" spans="2:7" ht="12.75">
      <c r="B17">
        <v>3.5</v>
      </c>
      <c r="C17">
        <v>50</v>
      </c>
      <c r="D17">
        <v>12</v>
      </c>
      <c r="E17">
        <v>12</v>
      </c>
      <c r="F17" s="132">
        <f>D17*E17</f>
        <v>0</v>
      </c>
      <c r="G17" s="135">
        <v>190</v>
      </c>
    </row>
    <row r="18" spans="2:7" ht="12.75">
      <c r="B18">
        <v>3.5</v>
      </c>
      <c r="C18">
        <v>10</v>
      </c>
      <c r="D18">
        <v>12</v>
      </c>
      <c r="E18">
        <v>3</v>
      </c>
      <c r="F18" s="132">
        <f>D18*E18</f>
        <v>0</v>
      </c>
      <c r="G18" s="135">
        <v>190</v>
      </c>
    </row>
    <row r="19" spans="2:7" ht="12.75">
      <c r="B19">
        <v>3.5</v>
      </c>
      <c r="C19">
        <v>30</v>
      </c>
      <c r="D19">
        <v>12</v>
      </c>
      <c r="E19">
        <v>4</v>
      </c>
      <c r="F19" s="132">
        <f>D19*E19</f>
        <v>0</v>
      </c>
      <c r="G19" s="135">
        <v>190</v>
      </c>
    </row>
    <row r="20" spans="2:7" ht="12.75">
      <c r="B20">
        <v>3.5</v>
      </c>
      <c r="C20">
        <v>50</v>
      </c>
      <c r="D20">
        <v>12</v>
      </c>
      <c r="E20">
        <v>12</v>
      </c>
      <c r="F20" s="132">
        <f>D20*E20</f>
        <v>0</v>
      </c>
      <c r="G20" s="135">
        <v>190</v>
      </c>
    </row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F8"/>
  <sheetViews>
    <sheetView workbookViewId="0" topLeftCell="A1">
      <selection activeCell="F8" sqref="F8"/>
    </sheetView>
  </sheetViews>
  <sheetFormatPr defaultColWidth="11.421875" defaultRowHeight="12.75"/>
  <cols>
    <col min="1" max="256" width="11.28125" style="0" customWidth="1"/>
  </cols>
  <sheetData>
    <row r="1" ht="12.75"/>
    <row r="2" ht="12.75"/>
    <row r="3" spans="2:6" ht="12.75">
      <c r="B3" t="s">
        <v>715</v>
      </c>
      <c r="C3" t="s">
        <v>716</v>
      </c>
      <c r="D3" t="s">
        <v>717</v>
      </c>
      <c r="E3" t="s">
        <v>718</v>
      </c>
      <c r="F3" t="s">
        <v>719</v>
      </c>
    </row>
    <row r="4" spans="1:6" ht="12.75">
      <c r="A4" t="s">
        <v>720</v>
      </c>
      <c r="B4">
        <v>1.25</v>
      </c>
      <c r="C4">
        <v>6</v>
      </c>
      <c r="D4" s="135">
        <v>19.99</v>
      </c>
      <c r="E4">
        <v>3</v>
      </c>
      <c r="F4" s="140">
        <f>E4*D4</f>
        <v>0</v>
      </c>
    </row>
    <row r="5" spans="2:6" ht="12.75">
      <c r="B5">
        <v>1.5</v>
      </c>
      <c r="C5">
        <v>6</v>
      </c>
      <c r="D5" s="135">
        <v>24.99</v>
      </c>
      <c r="E5">
        <v>5</v>
      </c>
      <c r="F5" s="140">
        <f>E5*D5</f>
        <v>0</v>
      </c>
    </row>
    <row r="6" spans="1:6" ht="12.75">
      <c r="A6" t="s">
        <v>721</v>
      </c>
      <c r="C6">
        <v>1.5</v>
      </c>
      <c r="D6" s="135">
        <v>0.05</v>
      </c>
      <c r="E6">
        <v>10</v>
      </c>
      <c r="F6" s="140">
        <f>E6*D6</f>
        <v>0</v>
      </c>
    </row>
    <row r="7" spans="1:6" ht="12.75">
      <c r="A7" t="s">
        <v>722</v>
      </c>
      <c r="D7" s="135">
        <v>4.49</v>
      </c>
      <c r="E7">
        <v>4</v>
      </c>
      <c r="F7" s="140">
        <f>E7*D7</f>
        <v>0</v>
      </c>
    </row>
    <row r="8" ht="12.75">
      <c r="F8" s="141">
        <f>SUM(F4:F7)</f>
        <v>0</v>
      </c>
    </row>
  </sheetData>
  <printOptions/>
  <pageMargins left="0.7875" right="0.7875" top="0.7875" bottom="0.7875" header="0.5" footer="0.5"/>
  <pageSetup cellComments="asDisplayed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74083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Savoye</dc:creator>
  <cp:keywords/>
  <dc:description/>
  <cp:lastModifiedBy/>
  <cp:lastPrinted>2003-07-25T01:44:35Z</cp:lastPrinted>
  <dcterms:created xsi:type="dcterms:W3CDTF">2000-03-13T03:27:04Z</dcterms:created>
  <dcterms:modified xsi:type="dcterms:W3CDTF">2003-08-12T05:44:53Z</dcterms:modified>
  <cp:category/>
  <cp:version/>
  <cp:contentType/>
  <cp:contentStatus/>
  <cp:revision>1489</cp:revision>
</cp:coreProperties>
</file>